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6" firstSheet="12" activeTab="23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2.5" sheetId="12" r:id="rId12"/>
    <sheet name="4.5" sheetId="13" r:id="rId13"/>
    <sheet name="4.1" sheetId="14" r:id="rId14"/>
    <sheet name="4.2" sheetId="15" r:id="rId15"/>
    <sheet name="4.3" sheetId="16" r:id="rId16"/>
    <sheet name="4.4" sheetId="17" r:id="rId17"/>
    <sheet name="5.1" sheetId="18" r:id="rId18"/>
    <sheet name="5.2" sheetId="19" r:id="rId19"/>
    <sheet name="6.1" sheetId="20" r:id="rId20"/>
    <sheet name="6.2" sheetId="21" r:id="rId21"/>
    <sheet name="6.3" sheetId="22" r:id="rId22"/>
    <sheet name="6.4" sheetId="23" r:id="rId23"/>
    <sheet name="6.5" sheetId="24" r:id="rId24"/>
    <sheet name="Лист1" sheetId="25" r:id="rId25"/>
  </sheets>
  <definedNames>
    <definedName name="_xlnm.Print_Area" localSheetId="5">'2.1'!$B$2:$G$30</definedName>
  </definedNames>
  <calcPr fullCalcOnLoad="1"/>
</workbook>
</file>

<file path=xl/sharedStrings.xml><?xml version="1.0" encoding="utf-8"?>
<sst xmlns="http://schemas.openxmlformats.org/spreadsheetml/2006/main" count="549" uniqueCount="160">
  <si>
    <t>Приморско-Ахтарское</t>
  </si>
  <si>
    <t>Ахтарское</t>
  </si>
  <si>
    <t>Бородинское</t>
  </si>
  <si>
    <t>Бриньковское</t>
  </si>
  <si>
    <t>Новопокровское</t>
  </si>
  <si>
    <t>Ольгинское</t>
  </si>
  <si>
    <t>Приазовское</t>
  </si>
  <si>
    <t>Свободное</t>
  </si>
  <si>
    <t>Степное</t>
  </si>
  <si>
    <t>Формула расчета</t>
  </si>
  <si>
    <t>Показатель</t>
  </si>
  <si>
    <t>Соответствует/не соответствует</t>
  </si>
  <si>
    <t>Наименование поселения</t>
  </si>
  <si>
    <t>Г - объем доходов бюджета (утверждено)</t>
  </si>
  <si>
    <t>Д-объем безвозмездных поступлений в бюджет муниципального образования (утверждено)</t>
  </si>
  <si>
    <t>Отношение дефицита бюджета муниципального образования к утвержденному общему объему доходов бюджета муниципального   образования   без   учета утвержденного  объема  безвозмездных поступлений и (или) поступлений налоговых доходов по дополнительным нормативам отчислений</t>
  </si>
  <si>
    <t>Отношение объема муниципального долга к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</si>
  <si>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А – объем муниципального долга муниципального образования</t>
  </si>
  <si>
    <t xml:space="preserve">Отношение объема муниципальных заимствований в отчетном финансовом году к сумме, направляемой в отчетном финансовом году на финансирование дефицита местного бюджета и (или) погашение муниципальных долговых обязательств </t>
  </si>
  <si>
    <t>Р=А/(Б+В)</t>
  </si>
  <si>
    <t xml:space="preserve">Отношение расходов на обслуживание муниципального долга к расходам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</si>
  <si>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Р=А/(Б-В)</t>
  </si>
  <si>
    <t>А – объем расходов бюджета муниципального образования, направленный на обслуживание муниципального долга, за отчетный период</t>
  </si>
  <si>
    <t>Б – объем расходов бюджета муниципального образования</t>
  </si>
  <si>
    <t>В – объем расходов бюджета муниципального образования, произведенных за счет субвенций из краевого бюджета, за отчетный период;</t>
  </si>
  <si>
    <t>Р=А/Б</t>
  </si>
  <si>
    <t>А – объем расходов на содержание органов местного самоуправления муниципального образования в отчетном периоде</t>
  </si>
  <si>
    <t>Б – утвержденный в установленном порядке норматив формирования расходов на содержание органов местного самоуправления муниципального образования</t>
  </si>
  <si>
    <t>Р=А/Б*100</t>
  </si>
  <si>
    <t xml:space="preserve">Отношение объема просроченной кредиторской задолженности бюджета муниципального образования к расходам бюджета </t>
  </si>
  <si>
    <t>Р=А/(В-Г)*100</t>
  </si>
  <si>
    <t>А – объем просроченной кредиторской задолженности по расходам бюджета муниципального образования</t>
  </si>
  <si>
    <t>В – объем расходов бюджета муниципального образования</t>
  </si>
  <si>
    <t>Г – объем расходов бюджета муниципального образования, осуществляемых за счет субвенций, предоставляемых из бюджетов бюджетной системы</t>
  </si>
  <si>
    <t xml:space="preserve">Динамика удельного веса дебиторской задолженности к общему объему расходов бюджета </t>
  </si>
  <si>
    <t xml:space="preserve">Р=(А/Б)/(В/Г), </t>
  </si>
  <si>
    <t>А – дебиторская задолженность бюджета муниципального образования на конец отчетного периода</t>
  </si>
  <si>
    <t>Б – общий объем расходов бюджета муниципального образования в отчетном периоде;</t>
  </si>
  <si>
    <t>В – дебиторская задолженность бюджета муниципального образования на конец года, предшествующего отчетному</t>
  </si>
  <si>
    <t>Г – общий объем расходов бюджета муниципального образования за год, предшествующий отчетному</t>
  </si>
  <si>
    <t>Динамика недоимки по налоговым доходам, подлежащим зачислению в местный бюджет</t>
  </si>
  <si>
    <t>А – объем недоимки по налоговым доходам, подлежащим зачислению в местный бюджет, на начало отчетного периода</t>
  </si>
  <si>
    <t>Б – объем недоимки по налоговым доходам, подлежащим зачислению в местный бюджет, на конец отчетного периода</t>
  </si>
  <si>
    <t>Отношение фактического исполнения расходов бюджета муниципального образования к уточненным плановым показателям расходов муниципального образования</t>
  </si>
  <si>
    <t>А – кассовые расходы муниципального образования за отчетный период</t>
  </si>
  <si>
    <t>Б – уточненный план расходов муниципального образования на год;</t>
  </si>
  <si>
    <t>Удельный вес расходов бюджета муниципального образования, формируемых в рамках программ</t>
  </si>
  <si>
    <t>Р=(А-Б)/(В-С)*100</t>
  </si>
  <si>
    <t>Б – объем расходов местного бюджета на реализацию программ, осуществляемых за счет субвенций, предоставляемых из бюджетов бюджетной системы Российской Федерации;</t>
  </si>
  <si>
    <t>С – объем расходов бюджета, осуществляемых за счет субвенций, предоставляемых из бюджетов бюджетной системы Российской Федерации</t>
  </si>
  <si>
    <t>Доля расходов местного бюджета на содержание органов местного самоуправления муниципального образования к общему объему расходов бюджета муниципального образования без переданных полномочий</t>
  </si>
  <si>
    <t xml:space="preserve">Р=А/Б*100 </t>
  </si>
  <si>
    <t>А – объем расходов местного бюджета на содержание органов местного самоуправления муниципального образования</t>
  </si>
  <si>
    <t>Б – расходы бюджета муниципального образования без переданных полномочий</t>
  </si>
  <si>
    <t>А – объем доходов бюджета муниципального образования за отчетный период</t>
  </si>
  <si>
    <t>Отклонение кассовых расходов в 4 квартале от среднего объема кассовых расходов за 1-3 кварталы отчетного года (равномерность исполнения бюджета)</t>
  </si>
  <si>
    <t>Р=А4/(А3+А2+А1)/3)</t>
  </si>
  <si>
    <t>А2 – объем расходов бюджета муниципального образования во втором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</si>
  <si>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А1 – объем расходов бюджета муниципального образования в первом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</si>
  <si>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А3 – объем расходов бюджета муниципального образования в третьем квартале отчетного финансового года соответственно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</si>
  <si>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А4 – объем расходов бюджета муниципального образования в четвертом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</si>
  <si>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Проведение публичных слушаний по проекту местного бюджета и проекту отчета об исполнении местного бюджета в соответствии с установленным порядком</t>
  </si>
  <si>
    <t>выполняется/не выполняется</t>
  </si>
  <si>
    <t>Реквизиты докумета, регламентирующего порядок проведения публичных слушаний по проекту бюджета и отчету об исполнении бюджета</t>
  </si>
  <si>
    <t>Выполняется/не выполняется</t>
  </si>
  <si>
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</si>
  <si>
    <t>Р=1-А/12</t>
  </si>
  <si>
    <t>А – количество месяцев в отчетном финансовом году, за которые бюджетная отчетность представлена позже установленного срока</t>
  </si>
  <si>
    <t>Интернет-адрес, на котором размещено решение о местном бюджете</t>
  </si>
  <si>
    <t>Итого</t>
  </si>
  <si>
    <t>соответствует</t>
  </si>
  <si>
    <t>доходы</t>
  </si>
  <si>
    <t>А</t>
  </si>
  <si>
    <t>Б</t>
  </si>
  <si>
    <t>Б – утвержденный на отчетный год объем доходов бюджета муниципального образования (по состоянию на 1 января отчетного периода)</t>
  </si>
  <si>
    <t>А – налоговые и неналоговые  доходы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 за отчетный период;</t>
  </si>
  <si>
    <t>Б – налоговые и неналоговые  доходы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 за аналогичный период года, предшествующего отчетному;</t>
  </si>
  <si>
    <t xml:space="preserve">Динамика налоговых и неналоговых доходов доходов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</t>
  </si>
  <si>
    <t>Р=Б/А*100</t>
  </si>
  <si>
    <t xml:space="preserve">Отношение  дотации на выравнивание 
 бюджетной обеспеченности к общему объему налоговых и неналоговых доходов бюджета муниципального образования
</t>
  </si>
  <si>
    <t>Исполнение бюджета муниципального образования по доходам без учета безвозмездных поступлений  к первоначально утвержденному уровню</t>
  </si>
  <si>
    <t xml:space="preserve">Отношение и расходов на содержание органов местного самоуправления муниципального образования к установленному нормативу формирования данных расходов в отчетном периоде </t>
  </si>
  <si>
    <t>Объем полученной дотации</t>
  </si>
  <si>
    <t>Общий объем налоговых и неналоговых доходов</t>
  </si>
  <si>
    <t>объем расходов местного бюджета, осуществляемых за счет субвенций</t>
  </si>
  <si>
    <t>межбюджетных трансфертов в связи с передачей полномочий между органами местного самоуправления муниципальных районов и поселений</t>
  </si>
  <si>
    <t>обслуживание муниципального долга</t>
  </si>
  <si>
    <t>Б – объем доходов бюджета муниципального образования (Утверждено);</t>
  </si>
  <si>
    <t>В – объем безвозмездных поступлений в бюджет муниципального образования (Утверждено);</t>
  </si>
  <si>
    <t>А-размер дефицита бюджета  (факт)</t>
  </si>
  <si>
    <t>В-объем снижения остатков на счетах бюджета  (факт)</t>
  </si>
  <si>
    <t>Размещение на официальных сайтах органов местного самоуправления муниципального образования актуальной редакции решения о местном бюджете</t>
  </si>
  <si>
    <t>Снижение финансовой зависимости местного бюджета от бюджетов других уровней бюджетной системы Российской Федерации</t>
  </si>
  <si>
    <t>Доля бюджетных инвестиций в общем объеме расходов местного бюджета</t>
  </si>
  <si>
    <t>А-объем расходов местного бюджета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 за исключением расходов, производимых за счет межбюджетных трансфертов из бюджетов бюджетной системы Российской Федерации, на бюджетные инвестиции;</t>
  </si>
  <si>
    <t>Б – объем субсидий, предоставляемых местным бюджетам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</si>
  <si>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В – общий объем расходов местного бюджета</t>
  </si>
  <si>
    <t>Г – объем расходов местного бюджета, осуществляемых за счет субвенций, предоставляемых из бюджетов бюджетной системы Российской Федерации</t>
  </si>
  <si>
    <t>Р = (A + Б) / (B – Г) x 100</t>
  </si>
  <si>
    <t>Б – объем межбюджетных трансфертов, поступивших в бюджет муниципального образования в отчетном периоде</t>
  </si>
  <si>
    <t xml:space="preserve">В - объем субвенций, поступивших в бюджет муниципального образования в отчетном периоде </t>
  </si>
  <si>
    <t>Г – объем доходов бюджета муниципального образования за год, предшествующий отчетному периоду</t>
  </si>
  <si>
    <t>Д – объем межбюджетных трансфертов, поступивших в бюджет муниципального образования за год, предшествующий отчетному периоду</t>
  </si>
  <si>
    <t>Е - объем субвенций, поступивших в бюджет муниципального образования за год, предшествующий отчетному периоду</t>
  </si>
  <si>
    <t>Р=(А-В)/(Г-Д)</t>
  </si>
  <si>
    <t xml:space="preserve">Р=А/(Б-В), </t>
  </si>
  <si>
    <t>Наличие на официальных сайтах органов местного самоуправления муниципального образования информации о местном бюджете в доступной и понятной для граждан форме ("бюджета для граждан") по проекту местного бюджета (решению о местном бюджете) и отчету об исполнении местного бюджета</t>
  </si>
  <si>
    <t>А – объем муниципальных заимствований, привлеченных в отчетном периоде (утверждено)</t>
  </si>
  <si>
    <t>Б – сумма, направленная в отчетном периоде на финансирование дефицита бюджета муниципального образования (утверждено);</t>
  </si>
  <si>
    <t>В – сумма, направленная в отчетном периоде на погашение долговых обязательств бюджета муниципального образования (утверждено);</t>
  </si>
  <si>
    <t xml:space="preserve">Р=((Б-В)/А)/((Д-Е)/Г)*100, </t>
  </si>
  <si>
    <t>Интернет-адрес, на котором размещены решение, ежеквартальные отчеты об исполнении бюджета</t>
  </si>
  <si>
    <t>Интернет-адрес, на котором размещена соответствующая информация</t>
  </si>
  <si>
    <t xml:space="preserve">соответствует </t>
  </si>
  <si>
    <t>Размещение на официальных сайтах органов местного самоуправления муниципального образования решения об исполнении местного бюджета и ежеквартальных отчетов об исполнении местного бюджета</t>
  </si>
  <si>
    <t>А – объем расходов местного бюджета на реализацию муниципальных программ</t>
  </si>
  <si>
    <t>Отношение объема муниципального долга к объему доходов местного бюджета без учета безвозмездных поступлений</t>
  </si>
  <si>
    <t>А - объем муниципального долга</t>
  </si>
  <si>
    <t>Б-объем доходов местного бюджета</t>
  </si>
  <si>
    <t>В-объем безвозмездных поступлений</t>
  </si>
  <si>
    <t>Коэффициент покрытия расходов местного бюджета собственными средствами без привлечения заемных средств</t>
  </si>
  <si>
    <t>Р=(А+Б)/В</t>
  </si>
  <si>
    <t>А-объем доходов местного бюджета в отчетном финансовом году;</t>
  </si>
  <si>
    <t>Б-объем поступлений от продажи акций и иных форм участия в капитале, находящихся в муниципальной собственности, и (или) снижения остатков средств на счетах по учету средств местного бюджета в отчетном финансовом году;</t>
  </si>
  <si>
    <t>В-объем расходов местного бюджета в отчетном финансовом году</t>
  </si>
  <si>
    <t>№ 462 от 21.05.2009г.</t>
  </si>
  <si>
    <t>№ 37 от 17.03.2006г.</t>
  </si>
  <si>
    <t>№ 37 от 28.03.2006г.</t>
  </si>
  <si>
    <t>выполняется</t>
  </si>
  <si>
    <t>не выполняется</t>
  </si>
  <si>
    <t>№ 36 от 10.03.2006 г</t>
  </si>
  <si>
    <t>№ 117 от 13.10.2016</t>
  </si>
  <si>
    <t>№ 157 от 21.12.2016</t>
  </si>
  <si>
    <t>№ 41 от 16.03.2006</t>
  </si>
  <si>
    <t>№ 33 от 16.03.2006</t>
  </si>
  <si>
    <t>Дата проведения публичных слушаний по проекту бюджета на 2020 год</t>
  </si>
  <si>
    <t>Дата проведения публичных слушаний по годовому отчету об исполнении бюджета за 2018 год</t>
  </si>
  <si>
    <t>http://prim-ahtarsk.ru/economy7203636</t>
  </si>
  <si>
    <t>http://admin-ahtarskogo-sp.ru/%D0%B0%D0%B4%D0%BC%D0%B8%D0%BD%D0%B8%D1%81%D1%82%D1%80%D0%B0%D1%86%D0%B8%D1%8F/%D1%8D%D0%BA%D0%BE%D0%BD%D0%BE%D0%BC%D0%B8%D0%BA%D0%B0-%D0%B8-%D1%84%D0%B8%D0%BD%D0%B0%D0%BD%D1%81%D1%8B/%D0%B1%D1%8E%D0%B4%D0%B6%D0%B5%D1%82.html</t>
  </si>
  <si>
    <t>http://borodinskoe-sp.ru/inova_block_documentset/document/310997/</t>
  </si>
  <si>
    <t>указан общий адрес сайта</t>
  </si>
  <si>
    <t>http://adm-novopokrov.ru/%D0%B0%D0%B4%D0%BC%D0%B8%D0%BD%D0%B8%D1%81%D1%82%D1%80%D0%B0%D1%86%D0%B8%D1%8F/%D1%8D%D0%BA%D0%BE%D0%BD%D0%BE%D0%BC%D0%B8%D0%BA%D0%B0-%D0%B8-%D1%84%D0%B8%D0%BD%D0%B0%D0%BD%D1%81%D1%8B/%D0%B1%D1%8E%D0%B4%D0%B6%D0%B5%D1%82.html</t>
  </si>
  <si>
    <t>http://priazovskoe.ru/inova_block_documentset/652/card/?q=%D0%B1%D1%8E%D0%B4%D0%B6%D0%B5%D1%82%D0%B5+%D0%9F%D1%80%D0%B8%D0%B0%D0%B7%D0%BE%D0%B2%D1%81%D0%BA%D0%BE%D0%B3%D0%BE+%D1%81%D0%B5%D0%BB%D1%8C%D1%81%D0%BA%D0%BE%D0%B3%D0%BE+%D0%BF%D0%BE%D1%81%D0%B5%D0%BB%D0%B5%D0%BD%D0%B8%D1%8F+%D0%9F%D1%80%D0%B8%D0%BC%D0%BE%D1%80%D1%81%D0%BA%D0%BE-%D0%90%D1%85%D1%82%D0%B0%D1%80%D1%81%D0%BA%D0%BE%D0%B3%D0%BE+%D1%80%D0%B0%D0%B9%D0%BE%D0%BD%D0%B0+%D0%BD%D0%B0+2019+%D0%B3%D0%BE%D0%B4</t>
  </si>
  <si>
    <t>не найдена актуальная редакция</t>
  </si>
  <si>
    <t>http://stepnogo-sp.ru/%D0%B0%D0%B4%D0%BC%D0%B8%D0%BD%D0%B8%D1%81%D1%82%D1%80%D0%B0%D1%86%D0%B8%D1%8F/%D1%8D%D0%BA%D0%BE%D0%BD%D0%BE%D0%BC%D0%B8%D0%BA%D0%B0/%D0%B1%D1%8E%D0%B4%D0%B6%D0%B5%D1%82.html</t>
  </si>
  <si>
    <t>по указанной ссылке требуемые документы не найдены</t>
  </si>
  <si>
    <t>http://admin-ahtarskogo-sp.ru/%D0%B0%D0%B4%D0%BC%D0%B8%D0%BD%D0%B8%D1%81%D1%82%D1%80%D0%B0%D1%86%D0%B8%D1%8F/%D1%81%D1%82%D0%B0%D1%82%D0%B8%D1%81%D1%82%D0%B8%D1%87%D0%B5%D1%81%D0%BA%D0%B0%D1%8F-%D0%B8%D0%BD%D1%84%D0%BE%D1%80%D0%BC%D0%B0%D1%86%D0%B8%D1%8F.html</t>
  </si>
  <si>
    <t>http://borodinskoe-sp.ru/inova_block_documentset/document/268741/; http://borodinskoe-sp.ru/inova_block_documentset/document/280310/; http://borodinskoe-sp.ru/inova_block_documentset/document/311000/; http://borodinskoe-sp.ru/inova_block_documentset/document/265082/.</t>
  </si>
  <si>
    <t>по указанной ссылке размещены не все документы (не найдено решение об исполнении бюджета за 2018 год, постановления об исполнении размещены некорректно)</t>
  </si>
  <si>
    <t>по указанной ссылке размещены не все документы и не в полном объеме (не найдено решение об исполнении бюджета за 2018 год, постановления об исполнении размещены некорректно)</t>
  </si>
  <si>
    <t>http://stepnogo-sp.ru/%D0%B0%D0%B4%D0%BC%D0%B8%D0%BD%D0%B8%D1%81%D1%82%D1%80%D0%B0%D1%86%D0%B8%D1%8F/%D1%8D%D0%BA%D0%BE%D0%BD%D0%BE%D0%BC%D0%B8%D0%BA%D0%B0/%D0%B8%D1%81%D0%BF%D0%BE%D0%BB%D0%BD%D0%B5%D0%BD%D0%B8%D0%B5-%D0%B1%D1%8E%D0%B4%D0%B6%D0%B5%D1%82%D0%B0.html</t>
  </si>
  <si>
    <t>http://borodinskoe-sp.ru/economy/budget/#mo-element-region-byudzhet-dlya-grazhdan</t>
  </si>
  <si>
    <t>не указан адрес</t>
  </si>
  <si>
    <t>нет</t>
  </si>
  <si>
    <t>по указанной ссылке не найдены требуемые документы (бюджет на 2020 год и отчет за 2018 год)</t>
  </si>
  <si>
    <t>http://priazovskoe.ru/economy/budget/</t>
  </si>
  <si>
    <t>http://svobodnoe-sp.ru/economy/budget/byudzhet-dlya-grazhdan/</t>
  </si>
  <si>
    <t>http://stepnogo-sp.ru/%D0%B1%D1%8E%D0%B4%D0%B6%D0%B5%D1%82-%D0%B4%D0%BB%D1%8F-%D0%B3%D1%80%D0%B0%D0%B6%D0%B4%D0%B0%D0%BD.html</t>
  </si>
  <si>
    <t>http://brinksp.ru/administratsiya/byudzhet-/</t>
  </si>
  <si>
    <t>№ 211 от 08.10.2013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</si>
</sst>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#,##0.0"/>
    <numFmt numFmtId="196" formatCode="0.000000"/>
    <numFmt numFmtId="197" formatCode="[$-FC19]d\ mmmm\ yyyy\ &quot;г.&quot;"/>
    <numFmt numFmtId="198" formatCode="0.00000"/>
  </numFmts>
  <fonts count="39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92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193" fontId="0" fillId="0" borderId="13" xfId="0" applyNumberFormat="1" applyBorder="1" applyAlignment="1">
      <alignment/>
    </xf>
    <xf numFmtId="195" fontId="0" fillId="0" borderId="10" xfId="0" applyNumberFormat="1" applyBorder="1" applyAlignment="1">
      <alignment/>
    </xf>
    <xf numFmtId="195" fontId="0" fillId="0" borderId="0" xfId="0" applyNumberFormat="1" applyAlignment="1">
      <alignment/>
    </xf>
    <xf numFmtId="195" fontId="0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19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95" fontId="0" fillId="0" borderId="0" xfId="0" applyNumberForma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35" borderId="14" xfId="0" applyFill="1" applyBorder="1" applyAlignment="1">
      <alignment/>
    </xf>
    <xf numFmtId="0" fontId="0" fillId="0" borderId="10" xfId="0" applyBorder="1" applyAlignment="1">
      <alignment wrapText="1"/>
    </xf>
    <xf numFmtId="0" fontId="2" fillId="0" borderId="10" xfId="42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34" borderId="0" xfId="0" applyFill="1" applyBorder="1" applyAlignment="1">
      <alignment wrapText="1"/>
    </xf>
    <xf numFmtId="4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16" xfId="0" applyBorder="1" applyAlignment="1">
      <alignment horizontal="center" vertical="center"/>
    </xf>
    <xf numFmtId="192" fontId="0" fillId="0" borderId="0" xfId="0" applyNumberForma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horizontal="center" vertical="center"/>
    </xf>
    <xf numFmtId="195" fontId="0" fillId="0" borderId="13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2" fillId="0" borderId="10" xfId="42" applyBorder="1" applyAlignment="1" applyProtection="1">
      <alignment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14" fontId="0" fillId="0" borderId="14" xfId="0" applyNumberFormat="1" applyFill="1" applyBorder="1" applyAlignment="1">
      <alignment horizontal="right"/>
    </xf>
    <xf numFmtId="195" fontId="0" fillId="0" borderId="10" xfId="0" applyNumberFormat="1" applyFill="1" applyBorder="1" applyAlignment="1">
      <alignment/>
    </xf>
    <xf numFmtId="195" fontId="0" fillId="0" borderId="0" xfId="0" applyNumberFormat="1" applyFill="1" applyAlignment="1">
      <alignment/>
    </xf>
    <xf numFmtId="4" fontId="0" fillId="0" borderId="13" xfId="0" applyNumberFormat="1" applyFill="1" applyBorder="1" applyAlignment="1">
      <alignment/>
    </xf>
    <xf numFmtId="195" fontId="2" fillId="0" borderId="10" xfId="42" applyNumberFormat="1" applyBorder="1" applyAlignment="1" applyProtection="1">
      <alignment wrapText="1"/>
      <protection/>
    </xf>
    <xf numFmtId="4" fontId="0" fillId="0" borderId="10" xfId="0" applyNumberFormat="1" applyFont="1" applyFill="1" applyBorder="1" applyAlignment="1">
      <alignment/>
    </xf>
    <xf numFmtId="195" fontId="0" fillId="0" borderId="10" xfId="0" applyNumberFormat="1" applyFont="1" applyFill="1" applyBorder="1" applyAlignment="1">
      <alignment/>
    </xf>
    <xf numFmtId="195" fontId="0" fillId="0" borderId="10" xfId="0" applyNumberFormat="1" applyFont="1" applyBorder="1" applyAlignment="1">
      <alignment/>
    </xf>
    <xf numFmtId="0" fontId="2" fillId="0" borderId="10" xfId="42" applyFont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4" fillId="0" borderId="10" xfId="42" applyFont="1" applyBorder="1" applyAlignment="1" applyProtection="1">
      <alignment wrapText="1"/>
      <protection/>
    </xf>
    <xf numFmtId="0" fontId="2" fillId="0" borderId="10" xfId="42" applyFont="1" applyBorder="1" applyAlignment="1" applyProtection="1">
      <alignment horizontal="center" wrapText="1"/>
      <protection/>
    </xf>
    <xf numFmtId="0" fontId="0" fillId="0" borderId="10" xfId="0" applyFont="1" applyBorder="1" applyAlignment="1">
      <alignment wrapText="1"/>
    </xf>
    <xf numFmtId="0" fontId="2" fillId="0" borderId="0" xfId="42" applyFont="1" applyAlignment="1" applyProtection="1">
      <alignment horizontal="center" wrapText="1"/>
      <protection/>
    </xf>
    <xf numFmtId="195" fontId="0" fillId="0" borderId="10" xfId="0" applyNumberFormat="1" applyFont="1" applyBorder="1" applyAlignment="1">
      <alignment/>
    </xf>
    <xf numFmtId="195" fontId="0" fillId="0" borderId="10" xfId="0" applyNumberFormat="1" applyFont="1" applyBorder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5" borderId="14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 wrapText="1"/>
    </xf>
    <xf numFmtId="0" fontId="1" fillId="35" borderId="19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prim-ahtarsk.ru/economy7203636" TargetMode="External" /><Relationship Id="rId2" Type="http://schemas.openxmlformats.org/officeDocument/2006/relationships/hyperlink" Target="http://borodinskoe-sp.ru/inova_block_documentset/document/310997/" TargetMode="External" /><Relationship Id="rId3" Type="http://schemas.openxmlformats.org/officeDocument/2006/relationships/hyperlink" Target="http://stepnogo-sp.ru/%D0%B0%D0%B4%D0%BC%D0%B8%D0%BD%D0%B8%D1%81%D1%82%D1%80%D0%B0%D1%86%D0%B8%D1%8F/%D1%8D%D0%BA%D0%BE%D0%BD%D0%BE%D0%BC%D0%B8%D0%BA%D0%B0/%D0%B1%D1%8E%D0%B4%D0%B6%D0%B5%D1%82.html" TargetMode="External" /><Relationship Id="rId4" Type="http://schemas.openxmlformats.org/officeDocument/2006/relationships/hyperlink" Target="http://brinksp.ru/administratsiya/byudzhet-/" TargetMode="External" /><Relationship Id="rId5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brinksp.ru/administratsiya/byudzhet-/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borodinskoe-sp.ru/economy/budget/#mo-element-region-byudzhet-dlya-grazhdan" TargetMode="External" /><Relationship Id="rId2" Type="http://schemas.openxmlformats.org/officeDocument/2006/relationships/hyperlink" Target="http://priazovskoe.ru/economy/budget/" TargetMode="External" /><Relationship Id="rId3" Type="http://schemas.openxmlformats.org/officeDocument/2006/relationships/hyperlink" Target="http://svobodnoe-sp.ru/economy/budget/byudzhet-dlya-grazhdan/" TargetMode="External" /><Relationship Id="rId4" Type="http://schemas.openxmlformats.org/officeDocument/2006/relationships/hyperlink" Target="http://stepnogo-sp.ru/%D0%B1%D1%8E%D0%B4%D0%B6%D0%B5%D1%82-%D0%B4%D0%BB%D1%8F-%D0%B3%D1%80%D0%B0%D0%B6%D0%B4%D0%B0%D0%BD.html" TargetMode="External" /><Relationship Id="rId5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H17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3.140625" style="0" customWidth="1"/>
    <col min="6" max="6" width="17.140625" style="0" customWidth="1"/>
    <col min="7" max="7" width="10.8515625" style="0" customWidth="1"/>
    <col min="8" max="8" width="13.57421875" style="0" customWidth="1"/>
  </cols>
  <sheetData>
    <row r="2" spans="2:8" ht="56.25" customHeight="1">
      <c r="B2" s="74" t="s">
        <v>15</v>
      </c>
      <c r="C2" s="75"/>
      <c r="D2" s="75"/>
      <c r="E2" s="75"/>
      <c r="F2" s="75"/>
      <c r="G2" s="75"/>
      <c r="H2" s="75"/>
    </row>
    <row r="3" ht="13.5" thickBot="1"/>
    <row r="4" spans="2:5" ht="13.5" thickBot="1">
      <c r="B4" s="2" t="s">
        <v>9</v>
      </c>
      <c r="C4" s="72" t="s">
        <v>104</v>
      </c>
      <c r="D4" s="72"/>
      <c r="E4" s="73"/>
    </row>
    <row r="6" spans="2:8" ht="87.75" customHeight="1">
      <c r="B6" s="3" t="s">
        <v>12</v>
      </c>
      <c r="C6" s="3" t="s">
        <v>89</v>
      </c>
      <c r="D6" s="3" t="s">
        <v>90</v>
      </c>
      <c r="E6" s="3" t="s">
        <v>13</v>
      </c>
      <c r="F6" s="3" t="s">
        <v>14</v>
      </c>
      <c r="G6" s="3" t="s">
        <v>10</v>
      </c>
      <c r="H6" s="3" t="s">
        <v>11</v>
      </c>
    </row>
    <row r="7" spans="2:8" ht="12.75">
      <c r="B7" s="4" t="s">
        <v>0</v>
      </c>
      <c r="C7" s="25">
        <v>0</v>
      </c>
      <c r="D7" s="25">
        <v>0</v>
      </c>
      <c r="E7" s="36">
        <v>241382.6</v>
      </c>
      <c r="F7" s="36">
        <v>137005.9</v>
      </c>
      <c r="G7" s="13">
        <f>(C7-D7)/(E7-F7)</f>
        <v>0</v>
      </c>
      <c r="H7" s="1" t="s">
        <v>70</v>
      </c>
    </row>
    <row r="8" spans="2:8" ht="12.75">
      <c r="B8" s="4" t="s">
        <v>1</v>
      </c>
      <c r="C8" s="23">
        <v>0</v>
      </c>
      <c r="D8" s="23">
        <v>0</v>
      </c>
      <c r="E8" s="7">
        <v>17268.3</v>
      </c>
      <c r="F8" s="7">
        <v>7792.1</v>
      </c>
      <c r="G8" s="13">
        <f aca="true" t="shared" si="0" ref="G8:G15">(C8-D8)/(E8-F8)</f>
        <v>0</v>
      </c>
      <c r="H8" s="1" t="s">
        <v>70</v>
      </c>
    </row>
    <row r="9" spans="2:8" ht="12.75">
      <c r="B9" s="4" t="s">
        <v>2</v>
      </c>
      <c r="C9" s="23">
        <v>11677.7</v>
      </c>
      <c r="D9" s="23">
        <v>11677.7</v>
      </c>
      <c r="E9" s="7">
        <v>12509</v>
      </c>
      <c r="F9" s="7">
        <v>5770.2</v>
      </c>
      <c r="G9" s="13">
        <f t="shared" si="0"/>
        <v>0</v>
      </c>
      <c r="H9" s="1" t="s">
        <v>70</v>
      </c>
    </row>
    <row r="10" spans="2:8" ht="12.75">
      <c r="B10" s="4" t="s">
        <v>3</v>
      </c>
      <c r="C10" s="23">
        <v>0</v>
      </c>
      <c r="D10" s="23">
        <v>0</v>
      </c>
      <c r="E10" s="7">
        <v>99889.5</v>
      </c>
      <c r="F10" s="7">
        <v>72915</v>
      </c>
      <c r="G10" s="13">
        <f t="shared" si="0"/>
        <v>0</v>
      </c>
      <c r="H10" s="38" t="s">
        <v>113</v>
      </c>
    </row>
    <row r="11" spans="2:8" ht="12.75">
      <c r="B11" s="4" t="s">
        <v>4</v>
      </c>
      <c r="C11" s="23">
        <v>1484.7</v>
      </c>
      <c r="D11" s="23">
        <v>1484.7</v>
      </c>
      <c r="E11" s="7">
        <v>8226.3</v>
      </c>
      <c r="F11" s="7">
        <v>3326.7</v>
      </c>
      <c r="G11" s="13">
        <f t="shared" si="0"/>
        <v>0</v>
      </c>
      <c r="H11" s="1" t="s">
        <v>70</v>
      </c>
    </row>
    <row r="12" spans="2:8" ht="12.75">
      <c r="B12" s="4" t="s">
        <v>5</v>
      </c>
      <c r="C12" s="23">
        <v>2540.3</v>
      </c>
      <c r="D12" s="23">
        <v>1340.3</v>
      </c>
      <c r="E12" s="7">
        <v>31028.7</v>
      </c>
      <c r="F12" s="7">
        <v>13879</v>
      </c>
      <c r="G12" s="13">
        <f t="shared" si="0"/>
        <v>0.069972069482265</v>
      </c>
      <c r="H12" s="1" t="s">
        <v>70</v>
      </c>
    </row>
    <row r="13" spans="2:8" ht="12.75">
      <c r="B13" s="4" t="s">
        <v>6</v>
      </c>
      <c r="C13" s="23">
        <v>1704.9</v>
      </c>
      <c r="D13" s="23">
        <v>1704.9</v>
      </c>
      <c r="E13" s="7">
        <v>21063.9</v>
      </c>
      <c r="F13" s="7">
        <v>11775.4</v>
      </c>
      <c r="G13" s="13">
        <f t="shared" si="0"/>
        <v>0</v>
      </c>
      <c r="H13" s="1" t="s">
        <v>70</v>
      </c>
    </row>
    <row r="14" spans="2:8" ht="12.75">
      <c r="B14" s="4" t="s">
        <v>7</v>
      </c>
      <c r="C14" s="23">
        <v>1535.5</v>
      </c>
      <c r="D14" s="23">
        <v>835.5</v>
      </c>
      <c r="E14" s="7">
        <v>12903.4</v>
      </c>
      <c r="F14" s="7">
        <v>5483</v>
      </c>
      <c r="G14" s="13">
        <f t="shared" si="0"/>
        <v>0.09433453722171312</v>
      </c>
      <c r="H14" s="1" t="s">
        <v>70</v>
      </c>
    </row>
    <row r="15" spans="2:8" ht="12.75">
      <c r="B15" s="4" t="s">
        <v>8</v>
      </c>
      <c r="C15" s="23">
        <v>2019.1</v>
      </c>
      <c r="D15" s="23">
        <v>2019.1</v>
      </c>
      <c r="E15" s="7">
        <v>14776.7</v>
      </c>
      <c r="F15" s="7">
        <v>4614.4</v>
      </c>
      <c r="G15" s="13">
        <f t="shared" si="0"/>
        <v>0</v>
      </c>
      <c r="H15" s="1" t="s">
        <v>70</v>
      </c>
    </row>
    <row r="16" spans="3:6" ht="12.75">
      <c r="C16" s="24"/>
      <c r="D16" s="24"/>
      <c r="E16" s="24"/>
      <c r="F16" s="24"/>
    </row>
    <row r="17" ht="12.75">
      <c r="B17" s="16"/>
    </row>
  </sheetData>
  <sheetProtection/>
  <mergeCells count="2">
    <mergeCell ref="C4:E4"/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E18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20.140625" style="0" bestFit="1" customWidth="1"/>
    <col min="3" max="3" width="33.421875" style="0" customWidth="1"/>
    <col min="4" max="4" width="30.7109375" style="0" customWidth="1"/>
    <col min="5" max="5" width="10.8515625" style="0" customWidth="1"/>
  </cols>
  <sheetData>
    <row r="2" spans="2:5" ht="46.5" customHeight="1">
      <c r="B2" s="74" t="s">
        <v>77</v>
      </c>
      <c r="C2" s="75"/>
      <c r="D2" s="75"/>
      <c r="E2" s="75"/>
    </row>
    <row r="3" ht="13.5" thickBot="1"/>
    <row r="4" spans="2:4" ht="13.5" thickBot="1">
      <c r="B4" s="2" t="s">
        <v>9</v>
      </c>
      <c r="C4" s="72" t="s">
        <v>28</v>
      </c>
      <c r="D4" s="72"/>
    </row>
    <row r="6" spans="2:5" ht="141" customHeight="1">
      <c r="B6" s="3" t="s">
        <v>12</v>
      </c>
      <c r="C6" s="3" t="s">
        <v>75</v>
      </c>
      <c r="D6" s="3" t="s">
        <v>76</v>
      </c>
      <c r="E6" s="3" t="s">
        <v>10</v>
      </c>
    </row>
    <row r="7" spans="2:5" ht="12.75">
      <c r="B7" s="4" t="s">
        <v>0</v>
      </c>
      <c r="C7" s="23">
        <v>113788.9</v>
      </c>
      <c r="D7" s="23">
        <v>111229.6</v>
      </c>
      <c r="E7" s="7">
        <f>C7/D7*100</f>
        <v>102.30091630285463</v>
      </c>
    </row>
    <row r="8" spans="2:5" ht="12.75">
      <c r="B8" s="4" t="s">
        <v>1</v>
      </c>
      <c r="C8" s="23">
        <v>11549.1</v>
      </c>
      <c r="D8" s="23">
        <v>10137.8</v>
      </c>
      <c r="E8" s="7">
        <f aca="true" t="shared" si="0" ref="E8:E15">C8/D8*100</f>
        <v>113.92116632800018</v>
      </c>
    </row>
    <row r="9" spans="2:5" ht="12.75">
      <c r="B9" s="4" t="s">
        <v>2</v>
      </c>
      <c r="C9" s="23">
        <v>7680.5</v>
      </c>
      <c r="D9" s="23">
        <v>7863.9</v>
      </c>
      <c r="E9" s="7">
        <f t="shared" si="0"/>
        <v>97.66782385330434</v>
      </c>
    </row>
    <row r="10" spans="2:5" ht="12.75">
      <c r="B10" s="4" t="s">
        <v>3</v>
      </c>
      <c r="C10" s="23">
        <v>30552.3</v>
      </c>
      <c r="D10" s="23">
        <v>29379.3</v>
      </c>
      <c r="E10" s="7">
        <f t="shared" si="0"/>
        <v>103.99260703965037</v>
      </c>
    </row>
    <row r="11" spans="2:5" ht="12.75">
      <c r="B11" s="4" t="s">
        <v>4</v>
      </c>
      <c r="C11" s="23">
        <v>5648.8</v>
      </c>
      <c r="D11" s="23">
        <v>5806.7</v>
      </c>
      <c r="E11" s="7">
        <f t="shared" si="0"/>
        <v>97.2807274355486</v>
      </c>
    </row>
    <row r="12" spans="2:5" ht="12.75">
      <c r="B12" s="4" t="s">
        <v>5</v>
      </c>
      <c r="C12" s="23">
        <v>19121.8</v>
      </c>
      <c r="D12" s="23">
        <v>18368.4</v>
      </c>
      <c r="E12" s="7">
        <f t="shared" si="0"/>
        <v>104.10160928551207</v>
      </c>
    </row>
    <row r="13" spans="2:5" ht="12.75">
      <c r="B13" s="4" t="s">
        <v>6</v>
      </c>
      <c r="C13" s="23">
        <v>9892.9</v>
      </c>
      <c r="D13" s="23">
        <v>9797.6</v>
      </c>
      <c r="E13" s="7">
        <f t="shared" si="0"/>
        <v>100.97268718869927</v>
      </c>
    </row>
    <row r="14" spans="2:5" ht="12.75">
      <c r="B14" s="4" t="s">
        <v>7</v>
      </c>
      <c r="C14" s="23">
        <v>7920.2</v>
      </c>
      <c r="D14" s="23">
        <v>8895.6</v>
      </c>
      <c r="E14" s="7">
        <f t="shared" si="0"/>
        <v>89.03502855344215</v>
      </c>
    </row>
    <row r="15" spans="2:5" ht="12.75">
      <c r="B15" s="4" t="s">
        <v>8</v>
      </c>
      <c r="C15" s="23">
        <v>10994.2</v>
      </c>
      <c r="D15" s="23">
        <v>11420.7</v>
      </c>
      <c r="E15" s="7">
        <f t="shared" si="0"/>
        <v>96.26555289955957</v>
      </c>
    </row>
    <row r="16" spans="3:4" s="16" customFormat="1" ht="12.75">
      <c r="C16" s="77"/>
      <c r="D16" s="77"/>
    </row>
    <row r="17" ht="12.75">
      <c r="D17" s="8"/>
    </row>
    <row r="18" ht="12.75">
      <c r="B18" s="16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E17"/>
  <sheetViews>
    <sheetView zoomScalePageLayoutView="0" workbookViewId="0" topLeftCell="B1">
      <selection activeCell="D6" sqref="D6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10.8515625" style="0" customWidth="1"/>
  </cols>
  <sheetData>
    <row r="2" spans="2:5" ht="30.75" customHeight="1">
      <c r="B2" s="74" t="s">
        <v>40</v>
      </c>
      <c r="C2" s="75"/>
      <c r="D2" s="75"/>
      <c r="E2" s="75"/>
    </row>
    <row r="3" ht="13.5" thickBot="1"/>
    <row r="4" spans="2:4" ht="13.5" thickBot="1">
      <c r="B4" s="2" t="s">
        <v>9</v>
      </c>
      <c r="C4" s="72" t="s">
        <v>78</v>
      </c>
      <c r="D4" s="72"/>
    </row>
    <row r="6" spans="2:5" ht="75.75" customHeight="1">
      <c r="B6" s="3" t="s">
        <v>12</v>
      </c>
      <c r="C6" s="3" t="s">
        <v>41</v>
      </c>
      <c r="D6" s="3" t="s">
        <v>42</v>
      </c>
      <c r="E6" s="3" t="s">
        <v>10</v>
      </c>
    </row>
    <row r="7" spans="2:5" ht="12.75">
      <c r="B7" s="4" t="s">
        <v>0</v>
      </c>
      <c r="C7" s="23">
        <v>19901.2</v>
      </c>
      <c r="D7" s="23">
        <v>20311.7</v>
      </c>
      <c r="E7" s="10">
        <f>D7/C7*100</f>
        <v>102.06268968705405</v>
      </c>
    </row>
    <row r="8" spans="2:5" ht="12.75">
      <c r="B8" s="4" t="s">
        <v>1</v>
      </c>
      <c r="C8" s="23">
        <v>1165.2</v>
      </c>
      <c r="D8" s="23">
        <v>1017.5</v>
      </c>
      <c r="E8" s="10">
        <f aca="true" t="shared" si="0" ref="E8:E15">D8/C8*100</f>
        <v>87.32406453827669</v>
      </c>
    </row>
    <row r="9" spans="2:5" ht="12.75">
      <c r="B9" s="4" t="s">
        <v>2</v>
      </c>
      <c r="C9" s="23">
        <v>1271.3</v>
      </c>
      <c r="D9" s="23">
        <v>934.6</v>
      </c>
      <c r="E9" s="10">
        <f t="shared" si="0"/>
        <v>73.51529929992921</v>
      </c>
    </row>
    <row r="10" spans="2:5" ht="12.75">
      <c r="B10" s="4" t="s">
        <v>3</v>
      </c>
      <c r="C10" s="23">
        <v>1966.3</v>
      </c>
      <c r="D10" s="23">
        <v>2096.8</v>
      </c>
      <c r="E10" s="10">
        <f t="shared" si="0"/>
        <v>106.63683059553478</v>
      </c>
    </row>
    <row r="11" spans="2:5" ht="12.75">
      <c r="B11" s="4" t="s">
        <v>4</v>
      </c>
      <c r="C11" s="23">
        <v>632</v>
      </c>
      <c r="D11" s="23">
        <v>535.1</v>
      </c>
      <c r="E11" s="10">
        <f t="shared" si="0"/>
        <v>84.66772151898735</v>
      </c>
    </row>
    <row r="12" spans="2:5" ht="12.75">
      <c r="B12" s="4" t="s">
        <v>5</v>
      </c>
      <c r="C12" s="23">
        <v>1448.5</v>
      </c>
      <c r="D12" s="23">
        <v>1411.5</v>
      </c>
      <c r="E12" s="10">
        <f t="shared" si="0"/>
        <v>97.44563341387642</v>
      </c>
    </row>
    <row r="13" spans="2:5" ht="12.75">
      <c r="B13" s="4" t="s">
        <v>6</v>
      </c>
      <c r="C13" s="23">
        <v>1116.8</v>
      </c>
      <c r="D13" s="23">
        <v>1078.2</v>
      </c>
      <c r="E13" s="10">
        <f t="shared" si="0"/>
        <v>96.54369627507164</v>
      </c>
    </row>
    <row r="14" spans="2:5" ht="12.75">
      <c r="B14" s="4" t="s">
        <v>7</v>
      </c>
      <c r="C14" s="23">
        <v>698.7</v>
      </c>
      <c r="D14" s="23">
        <v>632.2</v>
      </c>
      <c r="E14" s="10">
        <f t="shared" si="0"/>
        <v>90.48232431658795</v>
      </c>
    </row>
    <row r="15" spans="2:5" ht="12.75">
      <c r="B15" s="4" t="s">
        <v>8</v>
      </c>
      <c r="C15" s="23">
        <v>1266.2</v>
      </c>
      <c r="D15" s="23">
        <v>1329.9</v>
      </c>
      <c r="E15" s="10">
        <f t="shared" si="0"/>
        <v>105.03080082135523</v>
      </c>
    </row>
    <row r="16" spans="3:4" s="16" customFormat="1" ht="12.75">
      <c r="C16" s="58"/>
      <c r="D16" s="58"/>
    </row>
    <row r="17" ht="12.75">
      <c r="B17" s="16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F17"/>
  <sheetViews>
    <sheetView zoomScalePageLayoutView="0" workbookViewId="0" topLeftCell="A1">
      <selection activeCell="E22" sqref="E22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15.28125" style="0" customWidth="1"/>
    <col min="5" max="6" width="13.00390625" style="0" customWidth="1"/>
  </cols>
  <sheetData>
    <row r="2" spans="2:6" ht="30.75" customHeight="1">
      <c r="B2" s="74" t="s">
        <v>116</v>
      </c>
      <c r="C2" s="75"/>
      <c r="D2" s="75"/>
      <c r="E2" s="75"/>
      <c r="F2" s="75"/>
    </row>
    <row r="3" ht="13.5" thickBot="1"/>
    <row r="4" spans="2:3" ht="13.5" thickBot="1">
      <c r="B4" s="2" t="s">
        <v>9</v>
      </c>
      <c r="C4" s="45" t="s">
        <v>21</v>
      </c>
    </row>
    <row r="6" spans="2:6" ht="75.75" customHeight="1">
      <c r="B6" s="3" t="s">
        <v>12</v>
      </c>
      <c r="C6" s="3" t="s">
        <v>117</v>
      </c>
      <c r="D6" s="3" t="s">
        <v>118</v>
      </c>
      <c r="E6" s="3" t="s">
        <v>119</v>
      </c>
      <c r="F6" s="3" t="s">
        <v>10</v>
      </c>
    </row>
    <row r="7" spans="2:6" ht="12.75">
      <c r="B7" s="4" t="s">
        <v>0</v>
      </c>
      <c r="C7" s="26">
        <v>0</v>
      </c>
      <c r="D7" s="27">
        <v>249938</v>
      </c>
      <c r="E7" s="7">
        <v>136149.1</v>
      </c>
      <c r="F7" s="7">
        <f>(C7/(D7-E7))</f>
        <v>0</v>
      </c>
    </row>
    <row r="8" spans="2:6" ht="12.75">
      <c r="B8" s="4" t="s">
        <v>1</v>
      </c>
      <c r="C8" s="26">
        <v>0</v>
      </c>
      <c r="D8" s="27">
        <v>19341.2</v>
      </c>
      <c r="E8" s="7">
        <v>7792.1</v>
      </c>
      <c r="F8" s="7">
        <f aca="true" t="shared" si="0" ref="F8:F15">(C8/(D8-E8))</f>
        <v>0</v>
      </c>
    </row>
    <row r="9" spans="2:6" ht="12.75">
      <c r="B9" s="4" t="s">
        <v>2</v>
      </c>
      <c r="C9" s="7">
        <v>0</v>
      </c>
      <c r="D9" s="27">
        <v>13175.9</v>
      </c>
      <c r="E9" s="7">
        <v>5495.4</v>
      </c>
      <c r="F9" s="7">
        <f t="shared" si="0"/>
        <v>0</v>
      </c>
    </row>
    <row r="10" spans="2:6" ht="12.75">
      <c r="B10" s="4" t="s">
        <v>3</v>
      </c>
      <c r="C10" s="7">
        <v>432</v>
      </c>
      <c r="D10" s="27">
        <v>103467.3</v>
      </c>
      <c r="E10" s="7">
        <v>72915</v>
      </c>
      <c r="F10" s="7">
        <f t="shared" si="0"/>
        <v>0.01413968833770289</v>
      </c>
    </row>
    <row r="11" spans="2:6" ht="12.75">
      <c r="B11" s="4" t="s">
        <v>4</v>
      </c>
      <c r="C11" s="7">
        <v>0</v>
      </c>
      <c r="D11" s="27">
        <v>8975.4</v>
      </c>
      <c r="E11" s="7">
        <v>3326.7</v>
      </c>
      <c r="F11" s="7">
        <f t="shared" si="0"/>
        <v>0</v>
      </c>
    </row>
    <row r="12" spans="2:6" ht="12.75">
      <c r="B12" s="4" t="s">
        <v>5</v>
      </c>
      <c r="C12" s="7">
        <v>360</v>
      </c>
      <c r="D12" s="27">
        <v>32957.9</v>
      </c>
      <c r="E12" s="7">
        <v>13836.1</v>
      </c>
      <c r="F12" s="7">
        <f t="shared" si="0"/>
        <v>0.0188266794967001</v>
      </c>
    </row>
    <row r="13" spans="2:6" ht="12.75">
      <c r="B13" s="4" t="s">
        <v>6</v>
      </c>
      <c r="C13" s="7">
        <v>0</v>
      </c>
      <c r="D13" s="27">
        <v>21463.6</v>
      </c>
      <c r="E13" s="7">
        <v>11570.6</v>
      </c>
      <c r="F13" s="7">
        <f t="shared" si="0"/>
        <v>0</v>
      </c>
    </row>
    <row r="14" spans="2:6" ht="12.75">
      <c r="B14" s="4" t="s">
        <v>7</v>
      </c>
      <c r="C14" s="7">
        <v>210</v>
      </c>
      <c r="D14" s="25">
        <v>13404.1</v>
      </c>
      <c r="E14" s="7">
        <v>5483.9</v>
      </c>
      <c r="F14" s="7">
        <f t="shared" si="0"/>
        <v>0.02651448195752632</v>
      </c>
    </row>
    <row r="15" spans="2:6" ht="12.75">
      <c r="B15" s="4" t="s">
        <v>8</v>
      </c>
      <c r="C15" s="7">
        <v>0</v>
      </c>
      <c r="D15" s="25">
        <v>15608.6</v>
      </c>
      <c r="E15" s="7">
        <v>4614.4</v>
      </c>
      <c r="F15" s="7">
        <f t="shared" si="0"/>
        <v>0</v>
      </c>
    </row>
    <row r="16" spans="3:5" ht="12.75">
      <c r="C16" s="8"/>
      <c r="D16" s="8"/>
      <c r="E16" s="8"/>
    </row>
    <row r="17" spans="2:3" ht="12.75">
      <c r="B17" s="16"/>
      <c r="C17" s="16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F16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20.140625" style="0" bestFit="1" customWidth="1"/>
    <col min="3" max="3" width="26.57421875" style="0" customWidth="1"/>
    <col min="4" max="4" width="30.421875" style="0" customWidth="1"/>
    <col min="5" max="5" width="26.57421875" style="0" customWidth="1"/>
    <col min="6" max="6" width="10.8515625" style="0" customWidth="1"/>
  </cols>
  <sheetData>
    <row r="2" spans="2:6" ht="57" customHeight="1">
      <c r="B2" s="74" t="s">
        <v>120</v>
      </c>
      <c r="C2" s="75"/>
      <c r="D2" s="75"/>
      <c r="E2" s="75"/>
      <c r="F2" s="75"/>
    </row>
    <row r="3" ht="13.5" thickBot="1"/>
    <row r="4" spans="2:5" ht="13.5" thickBot="1">
      <c r="B4" s="2" t="s">
        <v>9</v>
      </c>
      <c r="C4" s="5" t="s">
        <v>121</v>
      </c>
      <c r="D4" s="44"/>
      <c r="E4" s="44"/>
    </row>
    <row r="6" spans="2:6" ht="109.5" customHeight="1">
      <c r="B6" s="3" t="s">
        <v>12</v>
      </c>
      <c r="C6" s="3" t="s">
        <v>122</v>
      </c>
      <c r="D6" s="3" t="s">
        <v>123</v>
      </c>
      <c r="E6" s="3" t="s">
        <v>124</v>
      </c>
      <c r="F6" s="3" t="s">
        <v>10</v>
      </c>
    </row>
    <row r="7" spans="2:6" ht="12.75">
      <c r="B7" s="4" t="s">
        <v>0</v>
      </c>
      <c r="C7" s="27">
        <v>249938</v>
      </c>
      <c r="D7" s="25">
        <v>-2667.8</v>
      </c>
      <c r="E7" s="7">
        <v>247270.2</v>
      </c>
      <c r="F7" s="35">
        <f>(C7+D7)/E7</f>
        <v>1</v>
      </c>
    </row>
    <row r="8" spans="2:6" ht="12.75">
      <c r="B8" s="4" t="s">
        <v>1</v>
      </c>
      <c r="C8" s="27">
        <v>19341.2</v>
      </c>
      <c r="D8" s="23">
        <v>-1490.6</v>
      </c>
      <c r="E8" s="7">
        <v>17850.6</v>
      </c>
      <c r="F8" s="35">
        <f aca="true" t="shared" si="0" ref="F8:F15">(C8+D8)/E8</f>
        <v>1.0000000000000002</v>
      </c>
    </row>
    <row r="9" spans="2:6" ht="12.75">
      <c r="B9" s="4" t="s">
        <v>2</v>
      </c>
      <c r="C9" s="27">
        <v>13175.9</v>
      </c>
      <c r="D9" s="23">
        <v>11677.7</v>
      </c>
      <c r="E9" s="7">
        <v>24853.6</v>
      </c>
      <c r="F9" s="35">
        <f t="shared" si="0"/>
        <v>1</v>
      </c>
    </row>
    <row r="10" spans="2:6" ht="12.75">
      <c r="B10" s="4" t="s">
        <v>3</v>
      </c>
      <c r="C10" s="27">
        <v>103467.3</v>
      </c>
      <c r="D10" s="23">
        <v>-330.7</v>
      </c>
      <c r="E10" s="7">
        <v>103136.6</v>
      </c>
      <c r="F10" s="35">
        <f t="shared" si="0"/>
        <v>1</v>
      </c>
    </row>
    <row r="11" spans="2:6" ht="12.75">
      <c r="B11" s="4" t="s">
        <v>4</v>
      </c>
      <c r="C11" s="27">
        <v>8975.4</v>
      </c>
      <c r="D11" s="23">
        <v>1484.7</v>
      </c>
      <c r="E11" s="7">
        <v>10460.2</v>
      </c>
      <c r="F11" s="35">
        <f t="shared" si="0"/>
        <v>0.9999904399533469</v>
      </c>
    </row>
    <row r="12" spans="2:6" ht="12.75">
      <c r="B12" s="4" t="s">
        <v>5</v>
      </c>
      <c r="C12" s="27">
        <v>32957.9</v>
      </c>
      <c r="D12" s="23">
        <v>1340.3</v>
      </c>
      <c r="E12" s="7">
        <v>35498.2</v>
      </c>
      <c r="F12" s="35">
        <f t="shared" si="0"/>
        <v>0.9661954690660374</v>
      </c>
    </row>
    <row r="13" spans="2:6" ht="12.75">
      <c r="B13" s="4" t="s">
        <v>6</v>
      </c>
      <c r="C13" s="27">
        <v>21463.6</v>
      </c>
      <c r="D13" s="23">
        <v>1704.8</v>
      </c>
      <c r="E13" s="7">
        <v>23168.4</v>
      </c>
      <c r="F13" s="35">
        <f t="shared" si="0"/>
        <v>0.9999999999999999</v>
      </c>
    </row>
    <row r="14" spans="2:6" ht="12.75">
      <c r="B14" s="4" t="s">
        <v>7</v>
      </c>
      <c r="C14" s="25">
        <v>13404.1</v>
      </c>
      <c r="D14" s="23">
        <v>835.5</v>
      </c>
      <c r="E14" s="7">
        <v>14939.6</v>
      </c>
      <c r="F14" s="35">
        <f t="shared" si="0"/>
        <v>0.9531446625076977</v>
      </c>
    </row>
    <row r="15" spans="2:6" ht="12.75">
      <c r="B15" s="4" t="s">
        <v>8</v>
      </c>
      <c r="C15" s="25">
        <v>15608.6</v>
      </c>
      <c r="D15" s="23">
        <v>2019.1</v>
      </c>
      <c r="E15" s="7">
        <v>17627.7</v>
      </c>
      <c r="F15" s="35">
        <f t="shared" si="0"/>
        <v>1</v>
      </c>
    </row>
    <row r="16" spans="3:5" ht="12.75">
      <c r="C16" s="24"/>
      <c r="D16" s="24"/>
      <c r="E16" s="8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E16"/>
  <sheetViews>
    <sheetView zoomScalePageLayoutView="0" workbookViewId="0" topLeftCell="B1">
      <selection activeCell="C19" sqref="C19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10.8515625" style="0" customWidth="1"/>
  </cols>
  <sheetData>
    <row r="2" spans="2:5" ht="44.25" customHeight="1">
      <c r="B2" s="74" t="s">
        <v>43</v>
      </c>
      <c r="C2" s="75"/>
      <c r="D2" s="75"/>
      <c r="E2" s="75"/>
    </row>
    <row r="3" ht="13.5" thickBot="1"/>
    <row r="4" spans="2:4" ht="13.5" thickBot="1">
      <c r="B4" s="2" t="s">
        <v>9</v>
      </c>
      <c r="C4" s="72" t="s">
        <v>25</v>
      </c>
      <c r="D4" s="72"/>
    </row>
    <row r="6" spans="2:5" ht="67.5" customHeight="1">
      <c r="B6" s="3" t="s">
        <v>12</v>
      </c>
      <c r="C6" s="3" t="s">
        <v>44</v>
      </c>
      <c r="D6" s="3" t="s">
        <v>45</v>
      </c>
      <c r="E6" s="3" t="s">
        <v>10</v>
      </c>
    </row>
    <row r="7" spans="2:5" ht="12.75">
      <c r="B7" s="4" t="s">
        <v>0</v>
      </c>
      <c r="C7" s="7">
        <v>247270.2</v>
      </c>
      <c r="D7" s="7">
        <v>256240.2</v>
      </c>
      <c r="E7" s="13">
        <f>C7/D7*100</f>
        <v>96.49937831768786</v>
      </c>
    </row>
    <row r="8" spans="2:5" ht="12.75">
      <c r="B8" s="4" t="s">
        <v>1</v>
      </c>
      <c r="C8" s="7">
        <v>17850.6</v>
      </c>
      <c r="D8" s="7">
        <v>18034.1</v>
      </c>
      <c r="E8" s="13">
        <f aca="true" t="shared" si="0" ref="E8:E15">C8/D8*100</f>
        <v>98.98248318463355</v>
      </c>
    </row>
    <row r="9" spans="2:5" ht="12.75">
      <c r="B9" s="4" t="s">
        <v>2</v>
      </c>
      <c r="C9" s="7">
        <v>24853.6</v>
      </c>
      <c r="D9" s="7">
        <v>25165.4</v>
      </c>
      <c r="E9" s="13">
        <f t="shared" si="0"/>
        <v>98.7609972422453</v>
      </c>
    </row>
    <row r="10" spans="2:5" ht="12.75">
      <c r="B10" s="4" t="s">
        <v>3</v>
      </c>
      <c r="C10" s="7">
        <v>103136.6</v>
      </c>
      <c r="D10" s="7">
        <v>103806.2</v>
      </c>
      <c r="E10" s="13">
        <f t="shared" si="0"/>
        <v>99.35495182368685</v>
      </c>
    </row>
    <row r="11" spans="2:5" ht="12.75">
      <c r="B11" s="4" t="s">
        <v>4</v>
      </c>
      <c r="C11" s="7">
        <v>10460.2</v>
      </c>
      <c r="D11" s="7">
        <v>10468.3</v>
      </c>
      <c r="E11" s="13">
        <f t="shared" si="0"/>
        <v>99.92262353963874</v>
      </c>
    </row>
    <row r="12" spans="2:5" ht="12.75">
      <c r="B12" s="4" t="s">
        <v>5</v>
      </c>
      <c r="C12" s="7">
        <v>35498.2</v>
      </c>
      <c r="D12" s="7">
        <v>35567.7</v>
      </c>
      <c r="E12" s="13">
        <f t="shared" si="0"/>
        <v>99.80459799199835</v>
      </c>
    </row>
    <row r="13" spans="2:5" ht="12.75">
      <c r="B13" s="4" t="s">
        <v>6</v>
      </c>
      <c r="C13" s="7">
        <v>23168.4</v>
      </c>
      <c r="D13" s="7">
        <v>24350.5</v>
      </c>
      <c r="E13" s="13">
        <f t="shared" si="0"/>
        <v>95.1454795589413</v>
      </c>
    </row>
    <row r="14" spans="2:5" ht="12.75">
      <c r="B14" s="4" t="s">
        <v>7</v>
      </c>
      <c r="C14" s="7">
        <v>14939.6</v>
      </c>
      <c r="D14" s="7">
        <v>14942.9</v>
      </c>
      <c r="E14" s="13">
        <f t="shared" si="0"/>
        <v>99.97791593331951</v>
      </c>
    </row>
    <row r="15" spans="2:5" ht="12.75">
      <c r="B15" s="4" t="s">
        <v>8</v>
      </c>
      <c r="C15" s="7">
        <v>17627.7</v>
      </c>
      <c r="D15" s="7">
        <v>19484</v>
      </c>
      <c r="E15" s="13">
        <f t="shared" si="0"/>
        <v>90.47269554506262</v>
      </c>
    </row>
    <row r="16" spans="3:4" ht="12.75">
      <c r="C16" s="24"/>
      <c r="D16" s="24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G19"/>
  <sheetViews>
    <sheetView zoomScalePageLayoutView="0" workbookViewId="0" topLeftCell="B1">
      <selection activeCell="D19" sqref="D19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20.57421875" style="0" customWidth="1"/>
    <col min="6" max="6" width="24.140625" style="0" customWidth="1"/>
    <col min="7" max="7" width="10.8515625" style="0" customWidth="1"/>
  </cols>
  <sheetData>
    <row r="2" spans="2:7" ht="30.75" customHeight="1">
      <c r="B2" s="74" t="s">
        <v>46</v>
      </c>
      <c r="C2" s="75"/>
      <c r="D2" s="75"/>
      <c r="E2" s="75"/>
      <c r="F2" s="75"/>
      <c r="G2" s="75"/>
    </row>
    <row r="3" ht="13.5" thickBot="1"/>
    <row r="4" spans="2:6" ht="13.5" thickBot="1">
      <c r="B4" s="2" t="s">
        <v>9</v>
      </c>
      <c r="C4" s="72" t="s">
        <v>47</v>
      </c>
      <c r="D4" s="72"/>
      <c r="E4" s="6"/>
      <c r="F4" s="6"/>
    </row>
    <row r="6" spans="2:7" ht="99.75" customHeight="1">
      <c r="B6" s="3" t="s">
        <v>12</v>
      </c>
      <c r="C6" s="3" t="s">
        <v>115</v>
      </c>
      <c r="D6" s="3" t="s">
        <v>48</v>
      </c>
      <c r="E6" s="3" t="s">
        <v>32</v>
      </c>
      <c r="F6" s="3" t="s">
        <v>49</v>
      </c>
      <c r="G6" s="3" t="s">
        <v>10</v>
      </c>
    </row>
    <row r="7" spans="2:7" ht="12.75">
      <c r="B7" s="4" t="s">
        <v>0</v>
      </c>
      <c r="C7" s="27">
        <v>201650.6</v>
      </c>
      <c r="D7" s="15">
        <v>0</v>
      </c>
      <c r="E7" s="7">
        <v>247270.2</v>
      </c>
      <c r="F7" s="27">
        <v>12.4</v>
      </c>
      <c r="G7" s="10">
        <f>(C7-D7)/(E7-F7)*100</f>
        <v>81.55479827127799</v>
      </c>
    </row>
    <row r="8" spans="2:7" ht="12.75">
      <c r="B8" s="4" t="s">
        <v>1</v>
      </c>
      <c r="C8" s="27">
        <v>12547.9</v>
      </c>
      <c r="D8" s="15">
        <v>0</v>
      </c>
      <c r="E8" s="7">
        <v>17850.6</v>
      </c>
      <c r="F8" s="27">
        <v>225.5</v>
      </c>
      <c r="G8" s="10">
        <f aca="true" t="shared" si="0" ref="G8:G15">(C8-D8)/(E8-F8)*100</f>
        <v>71.19335493131955</v>
      </c>
    </row>
    <row r="9" spans="2:7" ht="12.75">
      <c r="B9" s="4" t="s">
        <v>2</v>
      </c>
      <c r="C9" s="27">
        <v>15374.8</v>
      </c>
      <c r="D9" s="15">
        <v>0</v>
      </c>
      <c r="E9" s="7">
        <v>24853.6</v>
      </c>
      <c r="F9" s="27">
        <v>218.9</v>
      </c>
      <c r="G9" s="10">
        <f t="shared" si="0"/>
        <v>62.41115174936168</v>
      </c>
    </row>
    <row r="10" spans="2:7" ht="12.75">
      <c r="B10" s="4" t="s">
        <v>3</v>
      </c>
      <c r="C10" s="27">
        <v>93739.4</v>
      </c>
      <c r="D10" s="15">
        <v>0</v>
      </c>
      <c r="E10" s="7">
        <v>103136.6</v>
      </c>
      <c r="F10" s="27">
        <v>225.5</v>
      </c>
      <c r="G10" s="10">
        <f t="shared" si="0"/>
        <v>91.08774466505555</v>
      </c>
    </row>
    <row r="11" spans="2:7" ht="12.75">
      <c r="B11" s="4" t="s">
        <v>4</v>
      </c>
      <c r="C11" s="27">
        <v>5026.8</v>
      </c>
      <c r="D11" s="15">
        <v>0</v>
      </c>
      <c r="E11" s="7">
        <v>10460.2</v>
      </c>
      <c r="F11" s="27">
        <v>225.5</v>
      </c>
      <c r="G11" s="10">
        <f t="shared" si="0"/>
        <v>49.11526473663127</v>
      </c>
    </row>
    <row r="12" spans="2:7" ht="12.75">
      <c r="B12" s="4" t="s">
        <v>5</v>
      </c>
      <c r="C12" s="27">
        <v>26994</v>
      </c>
      <c r="D12" s="15">
        <v>0</v>
      </c>
      <c r="E12" s="7">
        <v>35498.2</v>
      </c>
      <c r="F12" s="27">
        <v>225.5</v>
      </c>
      <c r="G12" s="10">
        <f t="shared" si="0"/>
        <v>76.52944061554687</v>
      </c>
    </row>
    <row r="13" spans="2:7" ht="12.75">
      <c r="B13" s="4" t="s">
        <v>6</v>
      </c>
      <c r="C13" s="27">
        <v>17810</v>
      </c>
      <c r="D13" s="15">
        <v>0</v>
      </c>
      <c r="E13" s="7">
        <v>23168.4</v>
      </c>
      <c r="F13" s="27">
        <v>225.5</v>
      </c>
      <c r="G13" s="10">
        <f t="shared" si="0"/>
        <v>77.62750131849069</v>
      </c>
    </row>
    <row r="14" spans="2:7" ht="12.75">
      <c r="B14" s="4" t="s">
        <v>7</v>
      </c>
      <c r="C14" s="27">
        <v>9386.8</v>
      </c>
      <c r="D14" s="15">
        <v>0</v>
      </c>
      <c r="E14" s="7">
        <v>14939.6</v>
      </c>
      <c r="F14" s="27">
        <v>225.5</v>
      </c>
      <c r="G14" s="10">
        <f t="shared" si="0"/>
        <v>63.794591582223845</v>
      </c>
    </row>
    <row r="15" spans="2:7" ht="12.75">
      <c r="B15" s="4" t="s">
        <v>8</v>
      </c>
      <c r="C15" s="27">
        <v>11994.6</v>
      </c>
      <c r="D15" s="15">
        <v>0</v>
      </c>
      <c r="E15" s="7">
        <v>17627.7</v>
      </c>
      <c r="F15" s="27">
        <v>225.5</v>
      </c>
      <c r="G15" s="10">
        <f t="shared" si="0"/>
        <v>68.92576800634403</v>
      </c>
    </row>
    <row r="16" spans="3:6" s="16" customFormat="1" ht="12.75">
      <c r="C16" s="51"/>
      <c r="D16" s="20"/>
      <c r="E16" s="59"/>
      <c r="F16" s="59"/>
    </row>
    <row r="17" spans="5:6" ht="12.75">
      <c r="E17" s="16"/>
      <c r="F17" s="16"/>
    </row>
    <row r="19" ht="12.75">
      <c r="B19" s="16"/>
    </row>
  </sheetData>
  <sheetProtection/>
  <mergeCells count="2">
    <mergeCell ref="C4:D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G17"/>
  <sheetViews>
    <sheetView zoomScalePageLayoutView="0" workbookViewId="0" topLeftCell="C1">
      <selection activeCell="D21" sqref="D20:D21"/>
    </sheetView>
  </sheetViews>
  <sheetFormatPr defaultColWidth="9.140625" defaultRowHeight="12.75"/>
  <cols>
    <col min="2" max="2" width="20.140625" style="0" bestFit="1" customWidth="1"/>
    <col min="3" max="3" width="37.140625" style="0" customWidth="1"/>
    <col min="4" max="4" width="30.140625" style="0" customWidth="1"/>
    <col min="5" max="6" width="21.421875" style="0" customWidth="1"/>
    <col min="7" max="7" width="10.8515625" style="0" customWidth="1"/>
  </cols>
  <sheetData>
    <row r="2" spans="2:7" ht="30.75" customHeight="1">
      <c r="B2" s="74" t="s">
        <v>93</v>
      </c>
      <c r="C2" s="75"/>
      <c r="D2" s="75"/>
      <c r="E2" s="75"/>
      <c r="F2" s="75"/>
      <c r="G2" s="75"/>
    </row>
    <row r="3" ht="13.5" thickBot="1"/>
    <row r="4" spans="2:6" ht="13.5" thickBot="1">
      <c r="B4" s="2" t="s">
        <v>9</v>
      </c>
      <c r="C4" s="72" t="s">
        <v>98</v>
      </c>
      <c r="D4" s="72"/>
      <c r="E4" s="44"/>
      <c r="F4" s="44"/>
    </row>
    <row r="6" spans="2:7" ht="146.25" customHeight="1">
      <c r="B6" s="3" t="s">
        <v>12</v>
      </c>
      <c r="C6" s="3" t="s">
        <v>94</v>
      </c>
      <c r="D6" s="3" t="s">
        <v>95</v>
      </c>
      <c r="E6" s="3" t="s">
        <v>96</v>
      </c>
      <c r="F6" s="3" t="s">
        <v>97</v>
      </c>
      <c r="G6" s="3" t="s">
        <v>10</v>
      </c>
    </row>
    <row r="7" spans="2:7" ht="12.75">
      <c r="B7" s="4" t="s">
        <v>0</v>
      </c>
      <c r="C7" s="10">
        <v>0</v>
      </c>
      <c r="D7" s="10">
        <v>0</v>
      </c>
      <c r="E7" s="7">
        <v>247270.2</v>
      </c>
      <c r="F7" s="27">
        <v>12.4</v>
      </c>
      <c r="G7" s="13">
        <f>(C7+D7)/(E7-F7)</f>
        <v>0</v>
      </c>
    </row>
    <row r="8" spans="2:7" ht="12.75">
      <c r="B8" s="4" t="s">
        <v>1</v>
      </c>
      <c r="C8" s="10">
        <v>140</v>
      </c>
      <c r="D8" s="10">
        <v>0</v>
      </c>
      <c r="E8" s="7">
        <v>17850.6</v>
      </c>
      <c r="F8" s="27">
        <v>225.5</v>
      </c>
      <c r="G8" s="13">
        <f aca="true" t="shared" si="0" ref="G8:G15">(C8+D8)/(E8-F8)</f>
        <v>0.007943217343447698</v>
      </c>
    </row>
    <row r="9" spans="2:7" ht="12.75">
      <c r="B9" s="4" t="s">
        <v>2</v>
      </c>
      <c r="C9" s="10">
        <v>0</v>
      </c>
      <c r="D9" s="10">
        <v>0</v>
      </c>
      <c r="E9" s="7">
        <v>24853.6</v>
      </c>
      <c r="F9" s="27">
        <v>218.9</v>
      </c>
      <c r="G9" s="13">
        <f t="shared" si="0"/>
        <v>0</v>
      </c>
    </row>
    <row r="10" spans="2:7" ht="12.75">
      <c r="B10" s="4" t="s">
        <v>3</v>
      </c>
      <c r="C10" s="10">
        <v>1500</v>
      </c>
      <c r="D10" s="10">
        <v>0</v>
      </c>
      <c r="E10" s="7">
        <v>103136.6</v>
      </c>
      <c r="F10" s="27">
        <v>225.5</v>
      </c>
      <c r="G10" s="13">
        <f t="shared" si="0"/>
        <v>0.014575687170771665</v>
      </c>
    </row>
    <row r="11" spans="2:7" ht="12.75">
      <c r="B11" s="4" t="s">
        <v>4</v>
      </c>
      <c r="C11" s="10">
        <v>0</v>
      </c>
      <c r="D11" s="10">
        <v>0</v>
      </c>
      <c r="E11" s="7">
        <v>10460.2</v>
      </c>
      <c r="F11" s="27">
        <v>225.5</v>
      </c>
      <c r="G11" s="13">
        <f t="shared" si="0"/>
        <v>0</v>
      </c>
    </row>
    <row r="12" spans="2:7" ht="12.75">
      <c r="B12" s="4" t="s">
        <v>5</v>
      </c>
      <c r="C12" s="10">
        <v>0</v>
      </c>
      <c r="D12" s="10">
        <v>0</v>
      </c>
      <c r="E12" s="7">
        <v>35498.2</v>
      </c>
      <c r="F12" s="27">
        <v>225.5</v>
      </c>
      <c r="G12" s="13">
        <f t="shared" si="0"/>
        <v>0</v>
      </c>
    </row>
    <row r="13" spans="2:7" ht="12.75">
      <c r="B13" s="4" t="s">
        <v>6</v>
      </c>
      <c r="C13" s="10">
        <v>0</v>
      </c>
      <c r="D13" s="10">
        <v>0</v>
      </c>
      <c r="E13" s="7">
        <v>23168.4</v>
      </c>
      <c r="F13" s="27">
        <v>225.5</v>
      </c>
      <c r="G13" s="13">
        <f t="shared" si="0"/>
        <v>0</v>
      </c>
    </row>
    <row r="14" spans="2:7" ht="12.75">
      <c r="B14" s="4" t="s">
        <v>7</v>
      </c>
      <c r="C14" s="10">
        <v>0</v>
      </c>
      <c r="D14" s="10">
        <v>0</v>
      </c>
      <c r="E14" s="7">
        <v>14939.6</v>
      </c>
      <c r="F14" s="27">
        <v>225.5</v>
      </c>
      <c r="G14" s="13">
        <f t="shared" si="0"/>
        <v>0</v>
      </c>
    </row>
    <row r="15" spans="2:7" ht="12.75">
      <c r="B15" s="4" t="s">
        <v>8</v>
      </c>
      <c r="C15" s="10">
        <v>1944.9</v>
      </c>
      <c r="D15" s="10">
        <v>0</v>
      </c>
      <c r="E15" s="7">
        <v>17627.7</v>
      </c>
      <c r="F15" s="27">
        <v>225.5</v>
      </c>
      <c r="G15" s="13">
        <f t="shared" si="0"/>
        <v>0.11176173127535599</v>
      </c>
    </row>
    <row r="16" spans="3:6" s="16" customFormat="1" ht="12.75">
      <c r="C16" s="58"/>
      <c r="D16" s="58"/>
      <c r="E16" s="58"/>
      <c r="F16" s="58"/>
    </row>
    <row r="17" ht="12.75">
      <c r="B17" s="16"/>
    </row>
  </sheetData>
  <sheetProtection/>
  <mergeCells count="2">
    <mergeCell ref="C4:D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E27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10.8515625" style="0" customWidth="1"/>
  </cols>
  <sheetData>
    <row r="2" spans="2:5" ht="53.25" customHeight="1">
      <c r="B2" s="74" t="s">
        <v>50</v>
      </c>
      <c r="C2" s="75"/>
      <c r="D2" s="75"/>
      <c r="E2" s="75"/>
    </row>
    <row r="3" ht="13.5" thickBot="1"/>
    <row r="4" spans="2:4" ht="13.5" thickBot="1">
      <c r="B4" s="2" t="s">
        <v>9</v>
      </c>
      <c r="C4" s="72" t="s">
        <v>51</v>
      </c>
      <c r="D4" s="72"/>
    </row>
    <row r="6" spans="2:5" ht="84" customHeight="1">
      <c r="B6" s="3" t="s">
        <v>12</v>
      </c>
      <c r="C6" s="3" t="s">
        <v>52</v>
      </c>
      <c r="D6" s="3" t="s">
        <v>53</v>
      </c>
      <c r="E6" s="3" t="s">
        <v>10</v>
      </c>
    </row>
    <row r="7" spans="2:5" ht="12.75">
      <c r="B7" s="4" t="s">
        <v>0</v>
      </c>
      <c r="C7" s="25">
        <v>17698.4</v>
      </c>
      <c r="D7" s="7">
        <f>247270.2-12.4</f>
        <v>247257.80000000002</v>
      </c>
      <c r="E7" s="13">
        <f>C7/D7*100</f>
        <v>7.157873280438473</v>
      </c>
    </row>
    <row r="8" spans="2:5" ht="12.75">
      <c r="B8" s="4" t="s">
        <v>1</v>
      </c>
      <c r="C8" s="25">
        <v>3279.2</v>
      </c>
      <c r="D8" s="7">
        <f>17850.6-'4.3'!F8</f>
        <v>17625.1</v>
      </c>
      <c r="E8" s="13">
        <f aca="true" t="shared" si="0" ref="E8:E15">C8/D8*100</f>
        <v>18.605284509024063</v>
      </c>
    </row>
    <row r="9" spans="2:5" ht="12.75">
      <c r="B9" s="4" t="s">
        <v>2</v>
      </c>
      <c r="C9" s="25">
        <v>7743.7</v>
      </c>
      <c r="D9" s="7">
        <f>24853.6-'4.3'!F9</f>
        <v>24634.699999999997</v>
      </c>
      <c r="E9" s="13">
        <f t="shared" si="0"/>
        <v>31.434115292656294</v>
      </c>
    </row>
    <row r="10" spans="2:5" ht="12.75">
      <c r="B10" s="4" t="s">
        <v>3</v>
      </c>
      <c r="C10" s="25">
        <v>5419.7</v>
      </c>
      <c r="D10" s="7">
        <f>103136.6-'4.3'!F10</f>
        <v>102911.1</v>
      </c>
      <c r="E10" s="13">
        <f t="shared" si="0"/>
        <v>5.266390117295413</v>
      </c>
    </row>
    <row r="11" spans="2:5" ht="12.75">
      <c r="B11" s="4" t="s">
        <v>4</v>
      </c>
      <c r="C11" s="25">
        <v>2855.8</v>
      </c>
      <c r="D11" s="7">
        <f>10460.2-225.5</f>
        <v>10234.7</v>
      </c>
      <c r="E11" s="13">
        <f t="shared" si="0"/>
        <v>27.903113916382505</v>
      </c>
    </row>
    <row r="12" spans="2:5" ht="12.75">
      <c r="B12" s="4" t="s">
        <v>5</v>
      </c>
      <c r="C12" s="25">
        <v>5112.8</v>
      </c>
      <c r="D12" s="7">
        <f>35498.2-225.5</f>
        <v>35272.7</v>
      </c>
      <c r="E12" s="13">
        <f t="shared" si="0"/>
        <v>14.495062753914503</v>
      </c>
    </row>
    <row r="13" spans="2:5" ht="12.75">
      <c r="B13" s="4" t="s">
        <v>6</v>
      </c>
      <c r="C13" s="25">
        <v>3425.3</v>
      </c>
      <c r="D13" s="7">
        <f>23168.4-225.5</f>
        <v>22942.9</v>
      </c>
      <c r="E13" s="13">
        <f t="shared" si="0"/>
        <v>14.929673232241782</v>
      </c>
    </row>
    <row r="14" spans="2:5" ht="12.75">
      <c r="B14" s="4" t="s">
        <v>7</v>
      </c>
      <c r="C14" s="25">
        <v>3311.3</v>
      </c>
      <c r="D14" s="7">
        <f>14939.6-225.5</f>
        <v>14714.1</v>
      </c>
      <c r="E14" s="13">
        <f t="shared" si="0"/>
        <v>22.50426461693206</v>
      </c>
    </row>
    <row r="15" spans="2:5" ht="12.75">
      <c r="B15" s="4" t="s">
        <v>8</v>
      </c>
      <c r="C15" s="23">
        <v>3837.8</v>
      </c>
      <c r="D15" s="7">
        <f>17627.7-225.5</f>
        <v>17402.2</v>
      </c>
      <c r="E15" s="13">
        <f t="shared" si="0"/>
        <v>22.053533461286502</v>
      </c>
    </row>
    <row r="16" spans="3:4" ht="12.75">
      <c r="C16" s="24"/>
      <c r="D16" s="8"/>
    </row>
    <row r="17" spans="2:5" ht="12.75">
      <c r="B17" s="16"/>
      <c r="C17" s="21"/>
      <c r="D17" s="21"/>
      <c r="E17" s="21"/>
    </row>
    <row r="18" spans="3:5" ht="12.75">
      <c r="C18" s="21"/>
      <c r="D18" s="21"/>
      <c r="E18" s="21"/>
    </row>
    <row r="19" spans="3:5" ht="12.75">
      <c r="C19" s="21"/>
      <c r="D19" s="21"/>
      <c r="E19" s="21"/>
    </row>
    <row r="20" spans="3:5" ht="12.75">
      <c r="C20" s="21"/>
      <c r="D20" s="21"/>
      <c r="E20" s="21"/>
    </row>
    <row r="21" spans="3:5" ht="12.75">
      <c r="C21" s="21"/>
      <c r="D21" s="21"/>
      <c r="E21" s="21"/>
    </row>
    <row r="22" spans="3:5" ht="12.75">
      <c r="C22" s="21"/>
      <c r="D22" s="21"/>
      <c r="E22" s="21"/>
    </row>
    <row r="23" spans="3:5" ht="12.75">
      <c r="C23" s="21"/>
      <c r="D23" s="21"/>
      <c r="E23" s="21"/>
    </row>
    <row r="24" spans="3:5" ht="12.75">
      <c r="C24" s="21"/>
      <c r="D24" s="21"/>
      <c r="E24" s="21"/>
    </row>
    <row r="25" spans="3:5" ht="12.75">
      <c r="C25" s="21"/>
      <c r="D25" s="21"/>
      <c r="E25" s="21"/>
    </row>
    <row r="26" spans="3:5" ht="12.75">
      <c r="C26" s="21"/>
      <c r="D26" s="21"/>
      <c r="E26" s="21"/>
    </row>
    <row r="27" spans="3:5" ht="12.75">
      <c r="C27" s="21"/>
      <c r="D27" s="21"/>
      <c r="E27" s="21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E16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19.140625" style="0" customWidth="1"/>
    <col min="5" max="5" width="10.8515625" style="0" customWidth="1"/>
  </cols>
  <sheetData>
    <row r="2" spans="2:5" ht="52.5" customHeight="1">
      <c r="B2" s="74" t="s">
        <v>80</v>
      </c>
      <c r="C2" s="75"/>
      <c r="D2" s="75"/>
      <c r="E2" s="75"/>
    </row>
    <row r="3" ht="13.5" thickBot="1"/>
    <row r="4" spans="2:4" ht="13.5" thickBot="1">
      <c r="B4" s="2" t="s">
        <v>9</v>
      </c>
      <c r="C4" s="5" t="s">
        <v>28</v>
      </c>
      <c r="D4" s="6"/>
    </row>
    <row r="6" spans="2:5" ht="120.75" customHeight="1">
      <c r="B6" s="3" t="s">
        <v>12</v>
      </c>
      <c r="C6" s="3" t="s">
        <v>54</v>
      </c>
      <c r="D6" s="3" t="s">
        <v>74</v>
      </c>
      <c r="E6" s="3" t="s">
        <v>10</v>
      </c>
    </row>
    <row r="7" spans="2:5" ht="12.75">
      <c r="B7" s="4" t="s">
        <v>0</v>
      </c>
      <c r="C7" s="23">
        <v>113788.9</v>
      </c>
      <c r="D7" s="7">
        <v>96818.2</v>
      </c>
      <c r="E7" s="9">
        <f aca="true" t="shared" si="0" ref="E7:E15">C7/D7</f>
        <v>1.1752841924348933</v>
      </c>
    </row>
    <row r="8" spans="2:5" ht="12.75">
      <c r="B8" s="4" t="s">
        <v>1</v>
      </c>
      <c r="C8" s="23">
        <v>11549.1</v>
      </c>
      <c r="D8" s="7">
        <v>9844.2</v>
      </c>
      <c r="E8" s="9">
        <f t="shared" si="0"/>
        <v>1.1731882732979826</v>
      </c>
    </row>
    <row r="9" spans="2:5" ht="12.75">
      <c r="B9" s="4" t="s">
        <v>2</v>
      </c>
      <c r="C9" s="23">
        <v>7680.5</v>
      </c>
      <c r="D9" s="7">
        <v>6699.1</v>
      </c>
      <c r="E9" s="9">
        <f t="shared" si="0"/>
        <v>1.1464972906808377</v>
      </c>
    </row>
    <row r="10" spans="2:5" ht="12.75">
      <c r="B10" s="4" t="s">
        <v>3</v>
      </c>
      <c r="C10" s="23">
        <v>30552.3</v>
      </c>
      <c r="D10" s="7">
        <v>24890.3</v>
      </c>
      <c r="E10" s="9">
        <f t="shared" si="0"/>
        <v>1.2274781742285148</v>
      </c>
    </row>
    <row r="11" spans="2:5" ht="12.75">
      <c r="B11" s="4" t="s">
        <v>4</v>
      </c>
      <c r="C11" s="23">
        <v>5648.8</v>
      </c>
      <c r="D11" s="7">
        <v>7766.2</v>
      </c>
      <c r="E11" s="9">
        <f t="shared" si="0"/>
        <v>0.7273570085756226</v>
      </c>
    </row>
    <row r="12" spans="2:5" ht="12.75">
      <c r="B12" s="4" t="s">
        <v>5</v>
      </c>
      <c r="C12" s="23">
        <v>19121.8</v>
      </c>
      <c r="D12" s="7">
        <v>16116.7</v>
      </c>
      <c r="E12" s="9">
        <f t="shared" si="0"/>
        <v>1.1864587663727686</v>
      </c>
    </row>
    <row r="13" spans="2:5" ht="12.75">
      <c r="B13" s="4" t="s">
        <v>6</v>
      </c>
      <c r="C13" s="23">
        <v>9892.9</v>
      </c>
      <c r="D13" s="7">
        <v>10073</v>
      </c>
      <c r="E13" s="9">
        <f t="shared" si="0"/>
        <v>0.9821205202025216</v>
      </c>
    </row>
    <row r="14" spans="2:5" ht="12.75">
      <c r="B14" s="4" t="s">
        <v>7</v>
      </c>
      <c r="C14" s="23">
        <v>7920.2</v>
      </c>
      <c r="D14" s="7">
        <v>7602.2</v>
      </c>
      <c r="E14" s="9">
        <f t="shared" si="0"/>
        <v>1.0418299965799374</v>
      </c>
    </row>
    <row r="15" spans="2:5" ht="12.75">
      <c r="B15" s="4" t="s">
        <v>8</v>
      </c>
      <c r="C15" s="23">
        <v>10994.2</v>
      </c>
      <c r="D15" s="7">
        <v>11014.3</v>
      </c>
      <c r="E15" s="9">
        <f t="shared" si="0"/>
        <v>0.9981750996431913</v>
      </c>
    </row>
    <row r="16" spans="3:4" ht="12.75">
      <c r="C16" s="24"/>
      <c r="D16" s="24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G17"/>
  <sheetViews>
    <sheetView zoomScalePageLayoutView="0" workbookViewId="0" topLeftCell="C1">
      <selection activeCell="D11" sqref="D11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8515625" style="0" customWidth="1"/>
    <col min="5" max="5" width="25.57421875" style="0" customWidth="1"/>
    <col min="6" max="6" width="23.7109375" style="0" customWidth="1"/>
    <col min="7" max="7" width="10.8515625" style="0" customWidth="1"/>
  </cols>
  <sheetData>
    <row r="2" spans="2:7" ht="27.75" customHeight="1">
      <c r="B2" s="74" t="s">
        <v>55</v>
      </c>
      <c r="C2" s="75"/>
      <c r="D2" s="75"/>
      <c r="E2" s="75"/>
      <c r="F2" s="75"/>
      <c r="G2" s="75"/>
    </row>
    <row r="3" ht="13.5" thickBot="1"/>
    <row r="4" spans="2:6" ht="13.5" thickBot="1">
      <c r="B4" s="2" t="s">
        <v>9</v>
      </c>
      <c r="C4" s="5" t="s">
        <v>56</v>
      </c>
      <c r="D4" s="6"/>
      <c r="E4" s="6"/>
      <c r="F4" s="6"/>
    </row>
    <row r="6" spans="2:7" ht="170.25" customHeight="1">
      <c r="B6" s="3" t="s">
        <v>12</v>
      </c>
      <c r="C6" s="3" t="s">
        <v>58</v>
      </c>
      <c r="D6" s="3" t="s">
        <v>57</v>
      </c>
      <c r="E6" s="3" t="s">
        <v>59</v>
      </c>
      <c r="F6" s="3" t="s">
        <v>60</v>
      </c>
      <c r="G6" s="3" t="s">
        <v>10</v>
      </c>
    </row>
    <row r="7" spans="2:7" ht="12.75">
      <c r="B7" s="4" t="s">
        <v>0</v>
      </c>
      <c r="C7" s="7">
        <f>(23213.1-0)</f>
        <v>23213.1</v>
      </c>
      <c r="D7" s="7">
        <f>((61743.3-949.5-894)-C7)</f>
        <v>36686.700000000004</v>
      </c>
      <c r="E7" s="7">
        <f>((100837.9-4015.9-4878.2)-D7-C7)</f>
        <v>32044</v>
      </c>
      <c r="F7" s="7">
        <f>((247270.2-17085.3-87898.8)-E7-D7-C7)</f>
        <v>50342.300000000025</v>
      </c>
      <c r="G7" s="9">
        <f>F7/(1.1*(C7+D7+E7)/3)</f>
        <v>1.4932728668837036</v>
      </c>
    </row>
    <row r="8" spans="2:7" ht="12.75">
      <c r="B8" s="4" t="s">
        <v>1</v>
      </c>
      <c r="C8" s="26">
        <f>(2298.8-54.7-0)</f>
        <v>2244.1000000000004</v>
      </c>
      <c r="D8" s="26">
        <f>((5531-110.1-3.8)-C8)</f>
        <v>3172.999999999999</v>
      </c>
      <c r="E8" s="26">
        <f>((14585.9-164.2-5906.7)-D8-C8)</f>
        <v>3097.9000000000005</v>
      </c>
      <c r="F8" s="26">
        <f>((17850.6-221.7-5906.7)-E8-D8-C8)</f>
        <v>3207.199999999996</v>
      </c>
      <c r="G8" s="9">
        <f aca="true" t="shared" si="0" ref="G8:G15">F8/(1.1*(C8+D8+E8)/3)</f>
        <v>1.0272353600597863</v>
      </c>
    </row>
    <row r="9" spans="2:7" ht="12.75">
      <c r="B9" s="4" t="s">
        <v>2</v>
      </c>
      <c r="C9" s="26">
        <f>(2743.4-55.1-3.8)</f>
        <v>2684.5</v>
      </c>
      <c r="D9" s="26">
        <f>((8443.3-110.2-1411.7)-C9)</f>
        <v>4236.899999999999</v>
      </c>
      <c r="E9" s="26">
        <f>((15214-165.3-1411.7)-D9-C9)</f>
        <v>6715.600000000002</v>
      </c>
      <c r="F9" s="26">
        <f>((24853.6-215.1-1411.7)-E9-D9-C9)</f>
        <v>9589.8</v>
      </c>
      <c r="G9" s="9">
        <f t="shared" si="0"/>
        <v>1.9178704993766955</v>
      </c>
    </row>
    <row r="10" spans="2:7" ht="12.75">
      <c r="B10" s="4" t="s">
        <v>3</v>
      </c>
      <c r="C10" s="26">
        <f>(5685.3-44-3.8)</f>
        <v>5637.5</v>
      </c>
      <c r="D10" s="26">
        <f>((37745.6-99.4-22388.6)-C10)</f>
        <v>9620.099999999999</v>
      </c>
      <c r="E10" s="26">
        <f>((54714.7-151.1-30314.8)-C10-D10)</f>
        <v>8991.2</v>
      </c>
      <c r="F10" s="26">
        <f>((103136.6-1421.7-65327.4)-E10-D10-C10)</f>
        <v>12138.700000000008</v>
      </c>
      <c r="G10" s="9">
        <f t="shared" si="0"/>
        <v>1.365244690646361</v>
      </c>
    </row>
    <row r="11" spans="2:7" ht="12.75">
      <c r="B11" s="4" t="s">
        <v>4</v>
      </c>
      <c r="C11" s="26">
        <f>(2067.4-55.1-0)</f>
        <v>2012.3000000000002</v>
      </c>
      <c r="D11" s="26">
        <f>((4043.8-110.1-3.8)-C11)</f>
        <v>1917.6</v>
      </c>
      <c r="E11" s="26">
        <f>((7125.5-165.2-203.8)-C11-D11)</f>
        <v>2826.6</v>
      </c>
      <c r="F11" s="26">
        <f>((10460.1-221.7-203.8)-E11-D11-C11)</f>
        <v>3278.0999999999995</v>
      </c>
      <c r="G11" s="9">
        <f t="shared" si="0"/>
        <v>1.3232106456408976</v>
      </c>
    </row>
    <row r="12" spans="2:7" ht="12.75">
      <c r="B12" s="4" t="s">
        <v>5</v>
      </c>
      <c r="C12" s="26">
        <f>(5022.9-54.7-3.8)</f>
        <v>4964.4</v>
      </c>
      <c r="D12" s="26">
        <f>((17111.5-109.4-5150.3)-C12)</f>
        <v>6887.4</v>
      </c>
      <c r="E12" s="26">
        <f>((24232.1-162.8-5150.3)-C12-D12)</f>
        <v>7067.200000000001</v>
      </c>
      <c r="F12" s="61">
        <f>((35498.2-221.7-7503.3)-E12-D12-C12)</f>
        <v>8854.2</v>
      </c>
      <c r="G12" s="9">
        <f t="shared" si="0"/>
        <v>1.276379205128082</v>
      </c>
    </row>
    <row r="13" spans="2:7" ht="12.75">
      <c r="B13" s="4" t="s">
        <v>6</v>
      </c>
      <c r="C13" s="26">
        <f>(2406.9-54.1-3.8)</f>
        <v>2349</v>
      </c>
      <c r="D13" s="26">
        <f>((5720.6-100.1-103.8)-C13)</f>
        <v>3167.7</v>
      </c>
      <c r="E13" s="26">
        <f>((17552.3-1957-6447.8)-C13-D13)</f>
        <v>3630.8</v>
      </c>
      <c r="F13" s="61">
        <f>((23168.4-2297.9-8254.6)-E13-D13-C13)</f>
        <v>3468.3999999999987</v>
      </c>
      <c r="G13" s="9">
        <f t="shared" si="0"/>
        <v>1.0340828343561326</v>
      </c>
    </row>
    <row r="14" spans="2:7" ht="12.75">
      <c r="B14" s="4" t="s">
        <v>7</v>
      </c>
      <c r="C14" s="26">
        <f>(2727.4-55-3.8)</f>
        <v>2668.6</v>
      </c>
      <c r="D14" s="26">
        <f>((6069.6-110.3-113.8)-C14)</f>
        <v>3176.9</v>
      </c>
      <c r="E14" s="26">
        <f>((9163.8-436.4-199.5)-C14-D14)</f>
        <v>2682.399999999999</v>
      </c>
      <c r="F14" s="61">
        <f>((14939.6-1747.7-595.7)-E14-D14-C14)</f>
        <v>4068.2999999999997</v>
      </c>
      <c r="G14" s="9">
        <f t="shared" si="0"/>
        <v>1.3010663394696977</v>
      </c>
    </row>
    <row r="15" spans="2:7" ht="12.75">
      <c r="B15" s="4" t="s">
        <v>8</v>
      </c>
      <c r="C15" s="26">
        <f>(3041-55.1-0)</f>
        <v>2985.9</v>
      </c>
      <c r="D15" s="26">
        <f>((7415.1-110.2-3.8)-C15)</f>
        <v>4315.200000000001</v>
      </c>
      <c r="E15" s="26">
        <f>((11456.9-164.6-3.8)-C15-D15)</f>
        <v>3987.3999999999996</v>
      </c>
      <c r="F15" s="61">
        <f>((17627.7-221.7-3.8)-E15-D15-C15)</f>
        <v>6113.700000000001</v>
      </c>
      <c r="G15" s="9">
        <f t="shared" si="0"/>
        <v>1.4770542829186584</v>
      </c>
    </row>
    <row r="16" spans="3:6" ht="12.75">
      <c r="C16" s="8"/>
      <c r="D16" s="8"/>
      <c r="E16" s="8"/>
      <c r="F16" s="8"/>
    </row>
    <row r="17" spans="2:6" ht="12.75">
      <c r="B17" s="16"/>
      <c r="C17" s="8"/>
      <c r="D17" s="8"/>
      <c r="E17" s="8"/>
      <c r="F17" s="8"/>
    </row>
  </sheetData>
  <sheetProtection/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G17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5.57421875" style="0" customWidth="1"/>
    <col min="6" max="6" width="10.8515625" style="0" customWidth="1"/>
    <col min="7" max="7" width="13.57421875" style="0" customWidth="1"/>
  </cols>
  <sheetData>
    <row r="2" spans="2:7" ht="46.5" customHeight="1">
      <c r="B2" s="74" t="s">
        <v>16</v>
      </c>
      <c r="C2" s="75"/>
      <c r="D2" s="75"/>
      <c r="E2" s="75"/>
      <c r="F2" s="75"/>
      <c r="G2" s="75"/>
    </row>
    <row r="3" ht="13.5" thickBot="1"/>
    <row r="4" spans="2:5" ht="13.5" thickBot="1">
      <c r="B4" s="2" t="s">
        <v>9</v>
      </c>
      <c r="C4" s="72" t="s">
        <v>105</v>
      </c>
      <c r="D4" s="72"/>
      <c r="E4" s="73"/>
    </row>
    <row r="6" spans="2:7" ht="75.75" customHeight="1">
      <c r="B6" s="3" t="s">
        <v>12</v>
      </c>
      <c r="C6" s="3" t="s">
        <v>17</v>
      </c>
      <c r="D6" s="3" t="s">
        <v>87</v>
      </c>
      <c r="E6" s="3" t="s">
        <v>88</v>
      </c>
      <c r="F6" s="3" t="s">
        <v>10</v>
      </c>
      <c r="G6" s="3" t="s">
        <v>11</v>
      </c>
    </row>
    <row r="7" spans="2:7" ht="12.75">
      <c r="B7" s="4" t="s">
        <v>0</v>
      </c>
      <c r="C7" s="57">
        <v>0</v>
      </c>
      <c r="D7" s="36">
        <v>241382.6</v>
      </c>
      <c r="E7" s="36">
        <v>137005.9</v>
      </c>
      <c r="F7" s="13">
        <f>(C7/(D7-E7))</f>
        <v>0</v>
      </c>
      <c r="G7" s="1" t="s">
        <v>70</v>
      </c>
    </row>
    <row r="8" spans="2:7" ht="12.75">
      <c r="B8" s="4" t="s">
        <v>1</v>
      </c>
      <c r="C8" s="57">
        <v>0</v>
      </c>
      <c r="D8" s="7">
        <v>17268.3</v>
      </c>
      <c r="E8" s="7">
        <v>7792.1</v>
      </c>
      <c r="F8" s="13">
        <f aca="true" t="shared" si="0" ref="F8:F15">(C8/(D8-E8))</f>
        <v>0</v>
      </c>
      <c r="G8" s="1" t="s">
        <v>70</v>
      </c>
    </row>
    <row r="9" spans="2:7" ht="12.75">
      <c r="B9" s="4" t="s">
        <v>2</v>
      </c>
      <c r="C9" s="23">
        <v>0</v>
      </c>
      <c r="D9" s="7">
        <v>12509</v>
      </c>
      <c r="E9" s="7">
        <v>5770.2</v>
      </c>
      <c r="F9" s="13">
        <f t="shared" si="0"/>
        <v>0</v>
      </c>
      <c r="G9" s="1" t="s">
        <v>70</v>
      </c>
    </row>
    <row r="10" spans="2:7" ht="12.75">
      <c r="B10" s="4" t="s">
        <v>3</v>
      </c>
      <c r="C10" s="23">
        <v>432</v>
      </c>
      <c r="D10" s="7">
        <v>99889.5</v>
      </c>
      <c r="E10" s="7">
        <v>72915</v>
      </c>
      <c r="F10" s="13">
        <f t="shared" si="0"/>
        <v>0.01601512539620753</v>
      </c>
      <c r="G10" s="1" t="s">
        <v>70</v>
      </c>
    </row>
    <row r="11" spans="2:7" ht="12.75">
      <c r="B11" s="4" t="s">
        <v>4</v>
      </c>
      <c r="C11" s="23">
        <v>0</v>
      </c>
      <c r="D11" s="7">
        <v>8226.3</v>
      </c>
      <c r="E11" s="7">
        <v>3326.7</v>
      </c>
      <c r="F11" s="13">
        <f t="shared" si="0"/>
        <v>0</v>
      </c>
      <c r="G11" s="1" t="s">
        <v>70</v>
      </c>
    </row>
    <row r="12" spans="2:7" ht="12.75">
      <c r="B12" s="4" t="s">
        <v>5</v>
      </c>
      <c r="C12" s="23">
        <v>360</v>
      </c>
      <c r="D12" s="7">
        <v>31028.7</v>
      </c>
      <c r="E12" s="7">
        <v>13879</v>
      </c>
      <c r="F12" s="13">
        <f t="shared" si="0"/>
        <v>0.0209916208446795</v>
      </c>
      <c r="G12" s="1" t="s">
        <v>70</v>
      </c>
    </row>
    <row r="13" spans="2:7" ht="12.75">
      <c r="B13" s="4" t="s">
        <v>6</v>
      </c>
      <c r="C13" s="23">
        <v>0</v>
      </c>
      <c r="D13" s="7">
        <v>21063.9</v>
      </c>
      <c r="E13" s="7">
        <v>11775.4</v>
      </c>
      <c r="F13" s="13">
        <f t="shared" si="0"/>
        <v>0</v>
      </c>
      <c r="G13" s="1" t="s">
        <v>70</v>
      </c>
    </row>
    <row r="14" spans="2:7" ht="12.75">
      <c r="B14" s="4" t="s">
        <v>7</v>
      </c>
      <c r="C14" s="23">
        <v>210</v>
      </c>
      <c r="D14" s="7">
        <v>12903.4</v>
      </c>
      <c r="E14" s="7">
        <v>5483</v>
      </c>
      <c r="F14" s="13">
        <f t="shared" si="0"/>
        <v>0.028300361166513938</v>
      </c>
      <c r="G14" s="1" t="s">
        <v>70</v>
      </c>
    </row>
    <row r="15" spans="2:7" ht="12.75">
      <c r="B15" s="4" t="s">
        <v>8</v>
      </c>
      <c r="C15" s="23">
        <v>0</v>
      </c>
      <c r="D15" s="7">
        <v>14776.7</v>
      </c>
      <c r="E15" s="7">
        <v>4614.4</v>
      </c>
      <c r="F15" s="13">
        <f t="shared" si="0"/>
        <v>0</v>
      </c>
      <c r="G15" s="1" t="s">
        <v>70</v>
      </c>
    </row>
    <row r="16" spans="3:5" ht="12.75">
      <c r="C16" s="24"/>
      <c r="D16" s="24"/>
      <c r="E16" s="24"/>
    </row>
    <row r="17" ht="12.75">
      <c r="B17" s="16"/>
    </row>
  </sheetData>
  <sheetProtection/>
  <mergeCells count="2">
    <mergeCell ref="C4:E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F15"/>
  <sheetViews>
    <sheetView zoomScalePageLayoutView="0" workbookViewId="0" topLeftCell="B1">
      <selection activeCell="D19" sqref="D19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8515625" style="0" customWidth="1"/>
    <col min="5" max="5" width="25.57421875" style="0" customWidth="1"/>
    <col min="6" max="6" width="15.421875" style="0" customWidth="1"/>
  </cols>
  <sheetData>
    <row r="2" spans="2:6" ht="27.75" customHeight="1">
      <c r="B2" s="74" t="s">
        <v>61</v>
      </c>
      <c r="C2" s="75"/>
      <c r="D2" s="75"/>
      <c r="E2" s="75"/>
      <c r="F2" s="75"/>
    </row>
    <row r="3" ht="13.5" thickBot="1"/>
    <row r="4" spans="2:5" ht="13.5" thickBot="1">
      <c r="B4" s="2" t="s">
        <v>9</v>
      </c>
      <c r="C4" s="5" t="s">
        <v>62</v>
      </c>
      <c r="D4" s="6"/>
      <c r="E4" s="6"/>
    </row>
    <row r="6" spans="2:6" ht="87" customHeight="1">
      <c r="B6" s="3" t="s">
        <v>12</v>
      </c>
      <c r="C6" s="3" t="s">
        <v>135</v>
      </c>
      <c r="D6" s="3" t="s">
        <v>136</v>
      </c>
      <c r="E6" s="3" t="s">
        <v>63</v>
      </c>
      <c r="F6" s="3" t="s">
        <v>64</v>
      </c>
    </row>
    <row r="7" spans="2:6" ht="12.75">
      <c r="B7" s="4" t="s">
        <v>0</v>
      </c>
      <c r="C7" s="30">
        <v>43790</v>
      </c>
      <c r="D7" s="30">
        <v>43580</v>
      </c>
      <c r="E7" s="28" t="s">
        <v>125</v>
      </c>
      <c r="F7" s="1" t="s">
        <v>128</v>
      </c>
    </row>
    <row r="8" spans="2:6" ht="12.75">
      <c r="B8" s="4" t="s">
        <v>1</v>
      </c>
      <c r="C8" s="30">
        <v>43808</v>
      </c>
      <c r="D8" s="30">
        <v>43593</v>
      </c>
      <c r="E8" s="28" t="s">
        <v>132</v>
      </c>
      <c r="F8" s="1" t="s">
        <v>128</v>
      </c>
    </row>
    <row r="9" spans="2:6" ht="12.75">
      <c r="B9" s="4" t="s">
        <v>2</v>
      </c>
      <c r="C9" s="30">
        <v>43808</v>
      </c>
      <c r="D9" s="30">
        <v>43598</v>
      </c>
      <c r="E9" s="28" t="s">
        <v>131</v>
      </c>
      <c r="F9" s="1" t="s">
        <v>128</v>
      </c>
    </row>
    <row r="10" spans="2:6" ht="12.75">
      <c r="B10" s="31" t="s">
        <v>3</v>
      </c>
      <c r="C10" s="30">
        <v>43816</v>
      </c>
      <c r="D10" s="32">
        <v>43601</v>
      </c>
      <c r="E10" s="65" t="s">
        <v>159</v>
      </c>
      <c r="F10" s="1" t="s">
        <v>128</v>
      </c>
    </row>
    <row r="11" spans="2:6" ht="12.75">
      <c r="B11" s="31" t="s">
        <v>4</v>
      </c>
      <c r="C11" s="32">
        <v>43812</v>
      </c>
      <c r="D11" s="33">
        <v>43598</v>
      </c>
      <c r="E11" s="17" t="s">
        <v>126</v>
      </c>
      <c r="F11" s="1" t="s">
        <v>128</v>
      </c>
    </row>
    <row r="12" spans="2:6" ht="12.75">
      <c r="B12" s="31" t="s">
        <v>5</v>
      </c>
      <c r="C12" s="52">
        <v>43808</v>
      </c>
      <c r="D12" s="52">
        <v>43593</v>
      </c>
      <c r="E12" s="28" t="s">
        <v>133</v>
      </c>
      <c r="F12" s="1" t="s">
        <v>128</v>
      </c>
    </row>
    <row r="13" spans="2:6" ht="12.75">
      <c r="B13" s="31" t="s">
        <v>6</v>
      </c>
      <c r="C13" s="30">
        <v>43808</v>
      </c>
      <c r="D13" s="30">
        <v>43598</v>
      </c>
      <c r="E13" s="28" t="s">
        <v>130</v>
      </c>
      <c r="F13" s="1" t="s">
        <v>128</v>
      </c>
    </row>
    <row r="14" spans="2:6" ht="12.75">
      <c r="B14" s="4" t="s">
        <v>7</v>
      </c>
      <c r="C14" s="56">
        <v>43810</v>
      </c>
      <c r="D14" s="52">
        <v>43599</v>
      </c>
      <c r="E14" s="28" t="s">
        <v>134</v>
      </c>
      <c r="F14" s="1" t="s">
        <v>128</v>
      </c>
    </row>
    <row r="15" spans="2:6" ht="12.75">
      <c r="B15" s="4" t="s">
        <v>8</v>
      </c>
      <c r="C15" s="30">
        <v>43808</v>
      </c>
      <c r="D15" s="30">
        <v>43593</v>
      </c>
      <c r="E15" s="28" t="s">
        <v>127</v>
      </c>
      <c r="F15" s="1" t="s">
        <v>128</v>
      </c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D15"/>
  <sheetViews>
    <sheetView zoomScalePageLayoutView="0" workbookViewId="0" topLeftCell="A1">
      <selection activeCell="D6" sqref="D6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19.140625" style="0" customWidth="1"/>
  </cols>
  <sheetData>
    <row r="2" spans="2:4" ht="60.75" customHeight="1">
      <c r="B2" s="74" t="s">
        <v>65</v>
      </c>
      <c r="C2" s="75"/>
      <c r="D2" s="75"/>
    </row>
    <row r="3" ht="13.5" thickBot="1"/>
    <row r="4" spans="2:4" ht="13.5" thickBot="1">
      <c r="B4" s="2" t="s">
        <v>9</v>
      </c>
      <c r="C4" s="5" t="s">
        <v>66</v>
      </c>
      <c r="D4" s="6"/>
    </row>
    <row r="6" spans="2:4" ht="94.5" customHeight="1">
      <c r="B6" s="3" t="s">
        <v>12</v>
      </c>
      <c r="C6" s="3" t="s">
        <v>67</v>
      </c>
      <c r="D6" s="3" t="s">
        <v>10</v>
      </c>
    </row>
    <row r="7" spans="2:4" ht="12.75">
      <c r="B7" s="4" t="s">
        <v>0</v>
      </c>
      <c r="C7" s="1">
        <v>1</v>
      </c>
      <c r="D7" s="13">
        <f>(1-(C7/12))</f>
        <v>0.9166666666666666</v>
      </c>
    </row>
    <row r="8" spans="2:4" ht="12.75">
      <c r="B8" s="4" t="s">
        <v>1</v>
      </c>
      <c r="C8" s="1">
        <v>0</v>
      </c>
      <c r="D8" s="13">
        <v>1</v>
      </c>
    </row>
    <row r="9" spans="2:4" ht="12.75">
      <c r="B9" s="4" t="s">
        <v>2</v>
      </c>
      <c r="C9" s="1">
        <v>0</v>
      </c>
      <c r="D9" s="13">
        <v>1</v>
      </c>
    </row>
    <row r="10" spans="2:4" ht="12.75">
      <c r="B10" s="4" t="s">
        <v>3</v>
      </c>
      <c r="C10" s="1">
        <v>1</v>
      </c>
      <c r="D10" s="13">
        <f>(1-(C10/12))</f>
        <v>0.9166666666666666</v>
      </c>
    </row>
    <row r="11" spans="2:4" ht="12.75">
      <c r="B11" s="4" t="s">
        <v>4</v>
      </c>
      <c r="C11" s="1">
        <v>0</v>
      </c>
      <c r="D11" s="13">
        <v>1</v>
      </c>
    </row>
    <row r="12" spans="2:4" ht="12.75">
      <c r="B12" s="4" t="s">
        <v>5</v>
      </c>
      <c r="C12" s="1">
        <v>2</v>
      </c>
      <c r="D12" s="13">
        <f>(1-(C12/12))</f>
        <v>0.8333333333333334</v>
      </c>
    </row>
    <row r="13" spans="2:4" ht="12.75">
      <c r="B13" s="4" t="s">
        <v>6</v>
      </c>
      <c r="C13" s="1">
        <v>0</v>
      </c>
      <c r="D13" s="13">
        <v>1</v>
      </c>
    </row>
    <row r="14" spans="2:4" ht="12.75">
      <c r="B14" s="4" t="s">
        <v>7</v>
      </c>
      <c r="C14" s="1">
        <v>0</v>
      </c>
      <c r="D14" s="13">
        <v>1</v>
      </c>
    </row>
    <row r="15" spans="2:4" ht="12.75">
      <c r="B15" s="4" t="s">
        <v>8</v>
      </c>
      <c r="C15" s="1">
        <v>0</v>
      </c>
      <c r="D15" s="13">
        <v>1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E15"/>
  <sheetViews>
    <sheetView zoomScalePageLayoutView="0" workbookViewId="0" topLeftCell="B13">
      <selection activeCell="F9" sqref="F9"/>
    </sheetView>
  </sheetViews>
  <sheetFormatPr defaultColWidth="9.140625" defaultRowHeight="12.75"/>
  <cols>
    <col min="2" max="2" width="20.140625" style="0" bestFit="1" customWidth="1"/>
    <col min="3" max="3" width="50.8515625" style="0" customWidth="1"/>
    <col min="4" max="4" width="15.140625" style="0" customWidth="1"/>
    <col min="5" max="5" width="18.7109375" style="0" customWidth="1"/>
  </cols>
  <sheetData>
    <row r="2" spans="2:4" ht="27.75" customHeight="1">
      <c r="B2" s="74" t="s">
        <v>91</v>
      </c>
      <c r="C2" s="75"/>
      <c r="D2" s="75"/>
    </row>
    <row r="3" ht="13.5" thickBot="1"/>
    <row r="4" spans="2:3" ht="13.5" thickBot="1">
      <c r="B4" s="2" t="s">
        <v>9</v>
      </c>
      <c r="C4" s="5" t="s">
        <v>62</v>
      </c>
    </row>
    <row r="6" spans="2:4" ht="87" customHeight="1">
      <c r="B6" s="3" t="s">
        <v>12</v>
      </c>
      <c r="C6" s="3" t="s">
        <v>68</v>
      </c>
      <c r="D6" s="3" t="s">
        <v>64</v>
      </c>
    </row>
    <row r="7" spans="2:4" ht="12.75">
      <c r="B7" s="4" t="s">
        <v>0</v>
      </c>
      <c r="C7" s="53" t="s">
        <v>137</v>
      </c>
      <c r="D7" s="65" t="s">
        <v>128</v>
      </c>
    </row>
    <row r="8" spans="2:5" s="41" customFormat="1" ht="102">
      <c r="B8" s="31" t="s">
        <v>1</v>
      </c>
      <c r="C8" s="64" t="s">
        <v>138</v>
      </c>
      <c r="D8" s="65" t="s">
        <v>128</v>
      </c>
      <c r="E8"/>
    </row>
    <row r="9" spans="2:4" ht="25.5">
      <c r="B9" s="4" t="s">
        <v>2</v>
      </c>
      <c r="C9" s="53" t="s">
        <v>139</v>
      </c>
      <c r="D9" s="65" t="s">
        <v>128</v>
      </c>
    </row>
    <row r="10" spans="2:4" ht="18.75" customHeight="1">
      <c r="B10" s="4" t="s">
        <v>3</v>
      </c>
      <c r="C10" s="53" t="s">
        <v>158</v>
      </c>
      <c r="D10" s="65" t="s">
        <v>128</v>
      </c>
    </row>
    <row r="11" spans="2:4" ht="114.75">
      <c r="B11" s="4" t="s">
        <v>4</v>
      </c>
      <c r="C11" s="64" t="s">
        <v>141</v>
      </c>
      <c r="D11" s="65" t="s">
        <v>128</v>
      </c>
    </row>
    <row r="12" spans="2:4" ht="12.75">
      <c r="B12" s="4" t="s">
        <v>5</v>
      </c>
      <c r="C12" s="66" t="s">
        <v>140</v>
      </c>
      <c r="D12" s="65" t="s">
        <v>129</v>
      </c>
    </row>
    <row r="13" spans="2:4" ht="165.75">
      <c r="B13" s="4" t="s">
        <v>6</v>
      </c>
      <c r="C13" s="64" t="s">
        <v>142</v>
      </c>
      <c r="D13" s="65" t="s">
        <v>128</v>
      </c>
    </row>
    <row r="14" spans="2:5" ht="12.75">
      <c r="B14" s="4" t="s">
        <v>7</v>
      </c>
      <c r="C14" s="64" t="s">
        <v>143</v>
      </c>
      <c r="D14" s="65" t="s">
        <v>129</v>
      </c>
      <c r="E14" s="40"/>
    </row>
    <row r="15" spans="2:4" ht="76.5">
      <c r="B15" s="4" t="s">
        <v>8</v>
      </c>
      <c r="C15" s="53" t="s">
        <v>144</v>
      </c>
      <c r="D15" s="65" t="s">
        <v>128</v>
      </c>
    </row>
  </sheetData>
  <sheetProtection/>
  <mergeCells count="1">
    <mergeCell ref="B2:D2"/>
  </mergeCells>
  <hyperlinks>
    <hyperlink ref="C7" r:id="rId1" display="http://prim-ahtarsk.ru/economy7203636"/>
    <hyperlink ref="C9" r:id="rId2" display="http://borodinskoe-sp.ru/inova_block_documentset/document/310997/"/>
    <hyperlink ref="C15" r:id="rId3" display="http://stepnogo-sp.ru/%D0%B0%D0%B4%D0%BC%D0%B8%D0%BD%D0%B8%D1%81%D1%82%D1%80%D0%B0%D1%86%D0%B8%D1%8F/%D1%8D%D0%BA%D0%BE%D0%BD%D0%BE%D0%BC%D0%B8%D0%BA%D0%B0/%D0%B1%D1%8E%D0%B4%D0%B6%D0%B5%D1%82.html"/>
    <hyperlink ref="C10" r:id="rId4" display="http://brinksp.ru/administratsiya/byudzhet-/"/>
  </hyperlinks>
  <printOptions/>
  <pageMargins left="0.75" right="0.75" top="1" bottom="1" header="0.5" footer="0.5"/>
  <pageSetup fitToHeight="1" fitToWidth="1" horizontalDpi="600" verticalDpi="600" orientation="landscape" paperSize="9" scale="85" r:id="rId5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E18"/>
  <sheetViews>
    <sheetView zoomScalePageLayoutView="0" workbookViewId="0" topLeftCell="A13">
      <selection activeCell="C23" sqref="C23"/>
    </sheetView>
  </sheetViews>
  <sheetFormatPr defaultColWidth="9.140625" defaultRowHeight="12.75"/>
  <cols>
    <col min="2" max="2" width="20.140625" style="0" bestFit="1" customWidth="1"/>
    <col min="3" max="3" width="42.7109375" style="0" customWidth="1"/>
    <col min="4" max="4" width="15.140625" style="0" customWidth="1"/>
    <col min="5" max="5" width="21.28125" style="0" customWidth="1"/>
  </cols>
  <sheetData>
    <row r="2" spans="2:4" ht="27.75" customHeight="1">
      <c r="B2" s="74" t="s">
        <v>114</v>
      </c>
      <c r="C2" s="75"/>
      <c r="D2" s="75"/>
    </row>
    <row r="3" ht="13.5" thickBot="1"/>
    <row r="4" spans="2:3" ht="13.5" thickBot="1">
      <c r="B4" s="2" t="s">
        <v>9</v>
      </c>
      <c r="C4" s="5" t="s">
        <v>62</v>
      </c>
    </row>
    <row r="6" spans="2:4" ht="56.25" customHeight="1">
      <c r="B6" s="3" t="s">
        <v>12</v>
      </c>
      <c r="C6" s="3" t="s">
        <v>111</v>
      </c>
      <c r="D6" s="3" t="s">
        <v>64</v>
      </c>
    </row>
    <row r="7" spans="2:4" ht="25.5">
      <c r="B7" s="4" t="s">
        <v>0</v>
      </c>
      <c r="C7" s="67" t="s">
        <v>145</v>
      </c>
      <c r="D7" s="68" t="s">
        <v>129</v>
      </c>
    </row>
    <row r="8" spans="2:4" ht="127.5">
      <c r="B8" s="4" t="s">
        <v>1</v>
      </c>
      <c r="C8" s="69" t="s">
        <v>146</v>
      </c>
      <c r="D8" s="70" t="s">
        <v>128</v>
      </c>
    </row>
    <row r="9" spans="2:4" ht="114.75">
      <c r="B9" s="4" t="s">
        <v>2</v>
      </c>
      <c r="C9" s="39" t="s">
        <v>147</v>
      </c>
      <c r="D9" s="70" t="s">
        <v>128</v>
      </c>
    </row>
    <row r="10" spans="2:4" ht="12.75">
      <c r="B10" s="4" t="s">
        <v>3</v>
      </c>
      <c r="C10" s="39" t="s">
        <v>158</v>
      </c>
      <c r="D10" s="70" t="s">
        <v>128</v>
      </c>
    </row>
    <row r="11" spans="2:4" ht="63.75">
      <c r="B11" s="4" t="s">
        <v>4</v>
      </c>
      <c r="C11" s="64" t="s">
        <v>149</v>
      </c>
      <c r="D11" s="68" t="s">
        <v>129</v>
      </c>
    </row>
    <row r="12" spans="2:4" ht="12.75">
      <c r="B12" s="4" t="s">
        <v>5</v>
      </c>
      <c r="C12" s="39" t="s">
        <v>140</v>
      </c>
      <c r="D12" s="68" t="s">
        <v>129</v>
      </c>
    </row>
    <row r="13" spans="2:4" ht="63.75">
      <c r="B13" s="4" t="s">
        <v>6</v>
      </c>
      <c r="C13" s="64" t="s">
        <v>148</v>
      </c>
      <c r="D13" s="68" t="s">
        <v>129</v>
      </c>
    </row>
    <row r="14" spans="2:5" ht="25.5">
      <c r="B14" s="4" t="s">
        <v>7</v>
      </c>
      <c r="C14" s="67" t="s">
        <v>145</v>
      </c>
      <c r="D14" s="68" t="s">
        <v>129</v>
      </c>
      <c r="E14" s="55"/>
    </row>
    <row r="15" spans="2:4" ht="39" customHeight="1">
      <c r="B15" s="4" t="s">
        <v>8</v>
      </c>
      <c r="C15" s="67" t="s">
        <v>150</v>
      </c>
      <c r="D15" s="70" t="s">
        <v>128</v>
      </c>
    </row>
    <row r="18" ht="12.75">
      <c r="B18" s="14"/>
    </row>
  </sheetData>
  <sheetProtection/>
  <mergeCells count="1">
    <mergeCell ref="B2:D2"/>
  </mergeCells>
  <hyperlinks>
    <hyperlink ref="C10" r:id="rId1" display="http://brinksp.ru/administratsiya/byudzhet-/"/>
  </hyperlinks>
  <printOptions/>
  <pageMargins left="0.75" right="0.75" top="1" bottom="1" header="0.5" footer="0.5"/>
  <pageSetup fitToHeight="1" fitToWidth="1" horizontalDpi="600" verticalDpi="600" orientation="landscape" paperSize="9" scale="53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2:F18"/>
  <sheetViews>
    <sheetView tabSelected="1" zoomScalePageLayoutView="0" workbookViewId="0" topLeftCell="A1">
      <selection activeCell="E1" sqref="E1:G16384"/>
    </sheetView>
  </sheetViews>
  <sheetFormatPr defaultColWidth="9.140625" defaultRowHeight="12.75"/>
  <cols>
    <col min="2" max="2" width="20.140625" style="0" bestFit="1" customWidth="1"/>
    <col min="3" max="3" width="33.28125" style="0" bestFit="1" customWidth="1"/>
    <col min="4" max="4" width="26.00390625" style="0" customWidth="1"/>
    <col min="5" max="5" width="10.57421875" style="0" customWidth="1"/>
    <col min="6" max="6" width="10.28125" style="0" customWidth="1"/>
  </cols>
  <sheetData>
    <row r="2" spans="2:6" ht="48" customHeight="1">
      <c r="B2" s="74" t="s">
        <v>106</v>
      </c>
      <c r="C2" s="75"/>
      <c r="D2" s="75"/>
      <c r="E2" s="75"/>
      <c r="F2" s="76"/>
    </row>
    <row r="3" ht="13.5" thickBot="1"/>
    <row r="4" spans="2:4" ht="13.5" thickBot="1">
      <c r="B4" s="2" t="s">
        <v>9</v>
      </c>
      <c r="C4" s="72" t="s">
        <v>62</v>
      </c>
      <c r="D4" s="72"/>
    </row>
    <row r="5" spans="5:6" ht="12.75">
      <c r="E5" s="18"/>
      <c r="F5" s="18"/>
    </row>
    <row r="6" spans="2:6" ht="116.25" customHeight="1">
      <c r="B6" s="3" t="s">
        <v>12</v>
      </c>
      <c r="C6" s="3" t="s">
        <v>112</v>
      </c>
      <c r="D6" s="3" t="s">
        <v>64</v>
      </c>
      <c r="E6" s="48"/>
      <c r="F6" s="49"/>
    </row>
    <row r="7" spans="2:6" ht="12.75">
      <c r="B7" s="4" t="s">
        <v>0</v>
      </c>
      <c r="C7" s="71" t="s">
        <v>153</v>
      </c>
      <c r="D7" s="70" t="s">
        <v>129</v>
      </c>
      <c r="E7" s="50"/>
      <c r="F7" s="19"/>
    </row>
    <row r="8" spans="2:6" ht="12.75">
      <c r="B8" s="4" t="s">
        <v>1</v>
      </c>
      <c r="C8" s="71" t="s">
        <v>153</v>
      </c>
      <c r="D8" s="70" t="s">
        <v>129</v>
      </c>
      <c r="E8" s="50"/>
      <c r="F8" s="19"/>
    </row>
    <row r="9" spans="2:6" ht="38.25">
      <c r="B9" s="4" t="s">
        <v>2</v>
      </c>
      <c r="C9" s="60" t="s">
        <v>151</v>
      </c>
      <c r="D9" s="70" t="s">
        <v>128</v>
      </c>
      <c r="E9" s="54"/>
      <c r="F9" s="47"/>
    </row>
    <row r="10" spans="2:6" ht="12.75">
      <c r="B10" s="4" t="s">
        <v>3</v>
      </c>
      <c r="C10" s="71" t="s">
        <v>152</v>
      </c>
      <c r="D10" s="70" t="s">
        <v>129</v>
      </c>
      <c r="E10" s="54"/>
      <c r="F10" s="47"/>
    </row>
    <row r="11" spans="2:6" ht="38.25">
      <c r="B11" s="4" t="s">
        <v>4</v>
      </c>
      <c r="C11" s="71" t="s">
        <v>154</v>
      </c>
      <c r="D11" s="70" t="s">
        <v>129</v>
      </c>
      <c r="E11" s="46"/>
      <c r="F11" s="47"/>
    </row>
    <row r="12" spans="2:6" ht="12.75">
      <c r="B12" s="4" t="s">
        <v>5</v>
      </c>
      <c r="C12" s="71" t="s">
        <v>153</v>
      </c>
      <c r="D12" s="70" t="s">
        <v>129</v>
      </c>
      <c r="E12" s="46"/>
      <c r="F12" s="47"/>
    </row>
    <row r="13" spans="2:6" ht="12.75">
      <c r="B13" s="4" t="s">
        <v>6</v>
      </c>
      <c r="C13" s="60" t="s">
        <v>155</v>
      </c>
      <c r="D13" s="70" t="s">
        <v>128</v>
      </c>
      <c r="E13" s="46"/>
      <c r="F13" s="47"/>
    </row>
    <row r="14" spans="2:6" ht="38.25">
      <c r="B14" s="4" t="s">
        <v>7</v>
      </c>
      <c r="C14" s="60" t="s">
        <v>156</v>
      </c>
      <c r="D14" s="70" t="s">
        <v>128</v>
      </c>
      <c r="E14" s="46"/>
      <c r="F14" s="47"/>
    </row>
    <row r="15" spans="2:6" ht="76.5">
      <c r="B15" s="37" t="s">
        <v>8</v>
      </c>
      <c r="C15" s="39" t="s">
        <v>157</v>
      </c>
      <c r="D15" s="70" t="s">
        <v>128</v>
      </c>
      <c r="E15" s="46"/>
      <c r="F15" s="47"/>
    </row>
    <row r="16" spans="2:6" ht="12.75">
      <c r="B16" s="20"/>
      <c r="C16" s="51"/>
      <c r="D16" s="51"/>
      <c r="E16" s="21"/>
      <c r="F16" s="21"/>
    </row>
    <row r="17" spans="2:6" ht="12.75">
      <c r="B17" s="18"/>
      <c r="C17" s="18"/>
      <c r="D17" s="18"/>
      <c r="E17" s="21"/>
      <c r="F17" s="21"/>
    </row>
    <row r="18" spans="2:6" ht="12.75">
      <c r="B18" s="18"/>
      <c r="C18" s="18"/>
      <c r="D18" s="18"/>
      <c r="E18" s="21"/>
      <c r="F18" s="21"/>
    </row>
  </sheetData>
  <sheetProtection/>
  <mergeCells count="2">
    <mergeCell ref="C4:D4"/>
    <mergeCell ref="B2:F2"/>
  </mergeCells>
  <hyperlinks>
    <hyperlink ref="C9" r:id="rId1" display="http://borodinskoe-sp.ru/economy/budget/#mo-element-region-byudzhet-dlya-grazhdan"/>
    <hyperlink ref="C13" r:id="rId2" display="http://priazovskoe.ru/economy/budget/"/>
    <hyperlink ref="C14" r:id="rId3" display="http://svobodnoe-sp.ru/economy/budget/byudzhet-dlya-grazhdan/"/>
    <hyperlink ref="C15" r:id="rId4" display="http://stepnogo-sp.ru/%D0%B1%D1%8E%D0%B4%D0%B6%D0%B5%D1%82-%D0%B4%D0%BB%D1%8F-%D0%B3%D1%80%D0%B0%D0%B6%D0%B4%D0%B0%D0%BD.html"/>
  </hyperlinks>
  <printOptions/>
  <pageMargins left="0.75" right="0.75" top="1" bottom="1" header="0.5" footer="0.5"/>
  <pageSetup fitToHeight="1" fitToWidth="1" horizontalDpi="600" verticalDpi="600" orientation="landscape" paperSize="9" scale="94" r:id="rId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G17"/>
  <sheetViews>
    <sheetView zoomScalePageLayoutView="0" workbookViewId="0" topLeftCell="B1">
      <selection activeCell="D10" sqref="D10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3.00390625" style="0" customWidth="1"/>
    <col min="5" max="5" width="22.8515625" style="0" customWidth="1"/>
    <col min="6" max="6" width="10.8515625" style="0" customWidth="1"/>
    <col min="7" max="7" width="13.57421875" style="0" customWidth="1"/>
  </cols>
  <sheetData>
    <row r="2" spans="2:7" ht="60.75" customHeight="1">
      <c r="B2" s="74" t="s">
        <v>18</v>
      </c>
      <c r="C2" s="75"/>
      <c r="D2" s="75"/>
      <c r="E2" s="75"/>
      <c r="F2" s="75"/>
      <c r="G2" s="75"/>
    </row>
    <row r="3" ht="13.5" thickBot="1"/>
    <row r="4" spans="2:5" ht="13.5" thickBot="1">
      <c r="B4" s="2" t="s">
        <v>9</v>
      </c>
      <c r="C4" s="72" t="s">
        <v>19</v>
      </c>
      <c r="D4" s="72"/>
      <c r="E4" s="73"/>
    </row>
    <row r="6" spans="2:7" ht="95.25" customHeight="1">
      <c r="B6" s="3" t="s">
        <v>12</v>
      </c>
      <c r="C6" s="11" t="s">
        <v>107</v>
      </c>
      <c r="D6" s="11" t="s">
        <v>108</v>
      </c>
      <c r="E6" s="11" t="s">
        <v>109</v>
      </c>
      <c r="F6" s="3" t="s">
        <v>10</v>
      </c>
      <c r="G6" s="3" t="s">
        <v>11</v>
      </c>
    </row>
    <row r="7" spans="2:7" ht="12.75">
      <c r="B7" s="4" t="s">
        <v>0</v>
      </c>
      <c r="C7" s="23">
        <v>0</v>
      </c>
      <c r="D7" s="25">
        <v>14857.6</v>
      </c>
      <c r="E7" s="23">
        <v>0</v>
      </c>
      <c r="F7" s="13">
        <f>C7/(D7+E7)</f>
        <v>0</v>
      </c>
      <c r="G7" s="1" t="s">
        <v>70</v>
      </c>
    </row>
    <row r="8" spans="2:7" ht="12.75">
      <c r="B8" s="4" t="s">
        <v>1</v>
      </c>
      <c r="C8" s="23">
        <v>0</v>
      </c>
      <c r="D8" s="23">
        <v>765.8</v>
      </c>
      <c r="E8" s="23">
        <v>0</v>
      </c>
      <c r="F8" s="13">
        <f>C8/(D8+E8)</f>
        <v>0</v>
      </c>
      <c r="G8" s="1" t="s">
        <v>70</v>
      </c>
    </row>
    <row r="9" spans="2:7" ht="12.75">
      <c r="B9" s="4" t="s">
        <v>2</v>
      </c>
      <c r="C9" s="23">
        <v>0</v>
      </c>
      <c r="D9" s="23">
        <v>12656.4</v>
      </c>
      <c r="E9" s="23">
        <v>0</v>
      </c>
      <c r="F9" s="13">
        <f aca="true" t="shared" si="0" ref="F9:F14">C9/(D9+E9)</f>
        <v>0</v>
      </c>
      <c r="G9" s="1" t="s">
        <v>70</v>
      </c>
    </row>
    <row r="10" spans="2:7" ht="12.75">
      <c r="B10" s="4" t="s">
        <v>3</v>
      </c>
      <c r="C10" s="23">
        <v>1440</v>
      </c>
      <c r="D10" s="23">
        <v>3916.7</v>
      </c>
      <c r="E10" s="23">
        <v>1440</v>
      </c>
      <c r="F10" s="13">
        <f t="shared" si="0"/>
        <v>0.26882222263707134</v>
      </c>
      <c r="G10" s="1" t="s">
        <v>70</v>
      </c>
    </row>
    <row r="11" spans="2:7" ht="12.75">
      <c r="B11" s="4" t="s">
        <v>4</v>
      </c>
      <c r="C11" s="23">
        <v>0</v>
      </c>
      <c r="D11" s="23">
        <v>2242</v>
      </c>
      <c r="E11" s="23">
        <v>0</v>
      </c>
      <c r="F11" s="13">
        <f t="shared" si="0"/>
        <v>0</v>
      </c>
      <c r="G11" s="1" t="s">
        <v>70</v>
      </c>
    </row>
    <row r="12" spans="2:7" ht="12.75">
      <c r="B12" s="4" t="s">
        <v>5</v>
      </c>
      <c r="C12" s="23">
        <v>1200</v>
      </c>
      <c r="D12" s="23">
        <v>4539</v>
      </c>
      <c r="E12" s="23">
        <v>0</v>
      </c>
      <c r="F12" s="13">
        <f t="shared" si="0"/>
        <v>0.26437541308658297</v>
      </c>
      <c r="G12" s="1" t="s">
        <v>70</v>
      </c>
    </row>
    <row r="13" spans="2:7" ht="12.75">
      <c r="B13" s="4" t="s">
        <v>6</v>
      </c>
      <c r="C13" s="23">
        <v>0</v>
      </c>
      <c r="D13" s="23">
        <v>3286.6</v>
      </c>
      <c r="E13" s="23">
        <v>0</v>
      </c>
      <c r="F13" s="13">
        <v>0</v>
      </c>
      <c r="G13" s="1" t="s">
        <v>70</v>
      </c>
    </row>
    <row r="14" spans="2:7" ht="12.75">
      <c r="B14" s="4" t="s">
        <v>7</v>
      </c>
      <c r="C14" s="23">
        <v>700</v>
      </c>
      <c r="D14" s="23">
        <v>2039.5</v>
      </c>
      <c r="E14" s="23">
        <v>0</v>
      </c>
      <c r="F14" s="13">
        <f t="shared" si="0"/>
        <v>0.3432213777886737</v>
      </c>
      <c r="G14" s="1" t="s">
        <v>70</v>
      </c>
    </row>
    <row r="15" spans="2:7" ht="12.75">
      <c r="B15" s="4" t="s">
        <v>8</v>
      </c>
      <c r="C15" s="23">
        <v>0</v>
      </c>
      <c r="D15" s="23">
        <v>4707.3</v>
      </c>
      <c r="E15" s="23">
        <v>0</v>
      </c>
      <c r="F15" s="13">
        <v>0</v>
      </c>
      <c r="G15" s="1" t="s">
        <v>70</v>
      </c>
    </row>
    <row r="16" spans="3:5" ht="12.75">
      <c r="C16" s="24"/>
      <c r="D16" s="24"/>
      <c r="E16" s="24"/>
    </row>
    <row r="17" ht="12.75">
      <c r="B17" s="16"/>
    </row>
  </sheetData>
  <sheetProtection/>
  <mergeCells count="2">
    <mergeCell ref="C4:E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G17"/>
  <sheetViews>
    <sheetView zoomScalePageLayoutView="0" workbookViewId="0" topLeftCell="A4">
      <selection activeCell="C19" sqref="C19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7.421875" style="0" customWidth="1"/>
    <col min="6" max="6" width="10.8515625" style="0" customWidth="1"/>
    <col min="7" max="7" width="13.57421875" style="0" customWidth="1"/>
  </cols>
  <sheetData>
    <row r="2" spans="2:7" ht="58.5" customHeight="1">
      <c r="B2" s="74" t="s">
        <v>20</v>
      </c>
      <c r="C2" s="75"/>
      <c r="D2" s="75"/>
      <c r="E2" s="75"/>
      <c r="F2" s="75"/>
      <c r="G2" s="75"/>
    </row>
    <row r="3" ht="13.5" thickBot="1"/>
    <row r="4" spans="2:5" ht="13.5" thickBot="1">
      <c r="B4" s="2" t="s">
        <v>9</v>
      </c>
      <c r="C4" s="72" t="s">
        <v>21</v>
      </c>
      <c r="D4" s="72"/>
      <c r="E4" s="73"/>
    </row>
    <row r="6" spans="2:7" ht="132.75" customHeight="1">
      <c r="B6" s="3" t="s">
        <v>12</v>
      </c>
      <c r="C6" s="3" t="s">
        <v>22</v>
      </c>
      <c r="D6" s="3" t="s">
        <v>23</v>
      </c>
      <c r="E6" s="3" t="s">
        <v>24</v>
      </c>
      <c r="F6" s="3" t="s">
        <v>10</v>
      </c>
      <c r="G6" s="3" t="s">
        <v>11</v>
      </c>
    </row>
    <row r="7" spans="2:7" ht="12.75">
      <c r="B7" s="4" t="s">
        <v>0</v>
      </c>
      <c r="C7" s="23">
        <v>0</v>
      </c>
      <c r="D7" s="7">
        <v>247270.2</v>
      </c>
      <c r="E7" s="27">
        <v>12.4</v>
      </c>
      <c r="F7" s="23">
        <f>C7/(D7-E7)*100</f>
        <v>0</v>
      </c>
      <c r="G7" s="1" t="s">
        <v>70</v>
      </c>
    </row>
    <row r="8" spans="2:7" ht="12.75">
      <c r="B8" s="4" t="s">
        <v>1</v>
      </c>
      <c r="C8" s="23">
        <v>0</v>
      </c>
      <c r="D8" s="7">
        <v>17850.6</v>
      </c>
      <c r="E8" s="27">
        <v>225.5</v>
      </c>
      <c r="F8" s="23">
        <f aca="true" t="shared" si="0" ref="F8:F15">C8/(D8-E8)*100</f>
        <v>0</v>
      </c>
      <c r="G8" s="1" t="s">
        <v>70</v>
      </c>
    </row>
    <row r="9" spans="2:7" ht="12.75">
      <c r="B9" s="4" t="s">
        <v>2</v>
      </c>
      <c r="C9" s="23">
        <v>0</v>
      </c>
      <c r="D9" s="7">
        <v>24853.6</v>
      </c>
      <c r="E9" s="27">
        <v>218.9</v>
      </c>
      <c r="F9" s="23">
        <f t="shared" si="0"/>
        <v>0</v>
      </c>
      <c r="G9" s="1" t="s">
        <v>70</v>
      </c>
    </row>
    <row r="10" spans="2:7" ht="12.75">
      <c r="B10" s="4" t="s">
        <v>3</v>
      </c>
      <c r="C10" s="23">
        <v>1.4</v>
      </c>
      <c r="D10" s="7">
        <v>103136.6</v>
      </c>
      <c r="E10" s="27">
        <v>225.5</v>
      </c>
      <c r="F10" s="23">
        <f t="shared" si="0"/>
        <v>0.001360397469272022</v>
      </c>
      <c r="G10" s="1" t="s">
        <v>70</v>
      </c>
    </row>
    <row r="11" spans="2:7" ht="12.75">
      <c r="B11" s="4" t="s">
        <v>4</v>
      </c>
      <c r="C11" s="23">
        <v>0</v>
      </c>
      <c r="D11" s="7">
        <v>10460.2</v>
      </c>
      <c r="E11" s="27">
        <v>225.5</v>
      </c>
      <c r="F11" s="23">
        <f t="shared" si="0"/>
        <v>0</v>
      </c>
      <c r="G11" s="1" t="s">
        <v>70</v>
      </c>
    </row>
    <row r="12" spans="2:7" ht="12.75">
      <c r="B12" s="4" t="s">
        <v>5</v>
      </c>
      <c r="C12" s="23">
        <v>0.5</v>
      </c>
      <c r="D12" s="7">
        <v>35498.2</v>
      </c>
      <c r="E12" s="27">
        <v>225.5</v>
      </c>
      <c r="F12" s="23">
        <f t="shared" si="0"/>
        <v>0.0014175268692218062</v>
      </c>
      <c r="G12" s="1" t="s">
        <v>70</v>
      </c>
    </row>
    <row r="13" spans="2:7" ht="12.75">
      <c r="B13" s="4" t="s">
        <v>6</v>
      </c>
      <c r="C13" s="23">
        <v>0</v>
      </c>
      <c r="D13" s="7">
        <v>23168.4</v>
      </c>
      <c r="E13" s="27">
        <v>225.5</v>
      </c>
      <c r="F13" s="23">
        <f t="shared" si="0"/>
        <v>0</v>
      </c>
      <c r="G13" s="1" t="s">
        <v>70</v>
      </c>
    </row>
    <row r="14" spans="2:7" ht="12.75">
      <c r="B14" s="4" t="s">
        <v>7</v>
      </c>
      <c r="C14" s="23">
        <v>0.3</v>
      </c>
      <c r="D14" s="7">
        <v>14939.6</v>
      </c>
      <c r="E14" s="27">
        <v>225.5</v>
      </c>
      <c r="F14" s="23">
        <f t="shared" si="0"/>
        <v>0.0020388606846494174</v>
      </c>
      <c r="G14" s="1" t="s">
        <v>70</v>
      </c>
    </row>
    <row r="15" spans="2:7" ht="12.75">
      <c r="B15" s="4" t="s">
        <v>8</v>
      </c>
      <c r="C15" s="23">
        <v>0</v>
      </c>
      <c r="D15" s="7">
        <v>17627.7</v>
      </c>
      <c r="E15" s="27">
        <v>225.5</v>
      </c>
      <c r="F15" s="23">
        <f t="shared" si="0"/>
        <v>0</v>
      </c>
      <c r="G15" s="1" t="s">
        <v>70</v>
      </c>
    </row>
    <row r="16" spans="3:6" ht="12.75">
      <c r="C16" s="24"/>
      <c r="D16" s="24"/>
      <c r="E16" s="24"/>
      <c r="F16" s="24"/>
    </row>
    <row r="17" ht="12.75">
      <c r="B17" s="16"/>
    </row>
  </sheetData>
  <sheetProtection/>
  <mergeCells count="2">
    <mergeCell ref="C4:E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F18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0.421875" style="0" customWidth="1"/>
    <col min="5" max="5" width="10.8515625" style="0" customWidth="1"/>
    <col min="6" max="6" width="13.57421875" style="0" customWidth="1"/>
  </cols>
  <sheetData>
    <row r="2" spans="2:6" ht="52.5" customHeight="1">
      <c r="B2" s="74" t="s">
        <v>81</v>
      </c>
      <c r="C2" s="75"/>
      <c r="D2" s="75"/>
      <c r="E2" s="75"/>
      <c r="F2" s="75"/>
    </row>
    <row r="3" ht="13.5" thickBot="1"/>
    <row r="4" spans="2:4" ht="13.5" thickBot="1">
      <c r="B4" s="2" t="s">
        <v>9</v>
      </c>
      <c r="C4" s="72" t="s">
        <v>25</v>
      </c>
      <c r="D4" s="72"/>
    </row>
    <row r="6" spans="2:6" ht="132.75" customHeight="1">
      <c r="B6" s="3" t="s">
        <v>12</v>
      </c>
      <c r="C6" s="3" t="s">
        <v>26</v>
      </c>
      <c r="D6" s="3" t="s">
        <v>27</v>
      </c>
      <c r="E6" s="3" t="s">
        <v>10</v>
      </c>
      <c r="F6" s="3" t="s">
        <v>11</v>
      </c>
    </row>
    <row r="7" spans="2:6" ht="12.75">
      <c r="B7" s="4" t="s">
        <v>0</v>
      </c>
      <c r="C7" s="25">
        <v>17698.4</v>
      </c>
      <c r="D7" s="25">
        <v>18163</v>
      </c>
      <c r="E7" s="13">
        <f>C7/D7</f>
        <v>0.9744205252436272</v>
      </c>
      <c r="F7" s="1" t="s">
        <v>70</v>
      </c>
    </row>
    <row r="8" spans="2:6" ht="12.75">
      <c r="B8" s="4" t="s">
        <v>1</v>
      </c>
      <c r="C8" s="25">
        <v>3279.2</v>
      </c>
      <c r="D8" s="25">
        <v>4403</v>
      </c>
      <c r="E8" s="13">
        <f aca="true" t="shared" si="0" ref="E8:E15">C8/D8</f>
        <v>0.7447649330002271</v>
      </c>
      <c r="F8" s="1" t="s">
        <v>70</v>
      </c>
    </row>
    <row r="9" spans="2:6" ht="12.75">
      <c r="B9" s="4" t="s">
        <v>2</v>
      </c>
      <c r="C9" s="25">
        <v>3686.4</v>
      </c>
      <c r="D9" s="25">
        <v>3708</v>
      </c>
      <c r="E9" s="13">
        <f t="shared" si="0"/>
        <v>0.9941747572815535</v>
      </c>
      <c r="F9" s="1" t="s">
        <v>70</v>
      </c>
    </row>
    <row r="10" spans="2:6" ht="12.75">
      <c r="B10" s="4" t="s">
        <v>3</v>
      </c>
      <c r="C10" s="25">
        <v>5419.7</v>
      </c>
      <c r="D10" s="25">
        <v>5459</v>
      </c>
      <c r="E10" s="13">
        <f t="shared" si="0"/>
        <v>0.9928008792819197</v>
      </c>
      <c r="F10" s="1" t="s">
        <v>70</v>
      </c>
    </row>
    <row r="11" spans="2:6" ht="12.75">
      <c r="B11" s="4" t="s">
        <v>4</v>
      </c>
      <c r="C11" s="25">
        <v>2855.8</v>
      </c>
      <c r="D11" s="25">
        <v>3477</v>
      </c>
      <c r="E11" s="13">
        <f t="shared" si="0"/>
        <v>0.8213402358354904</v>
      </c>
      <c r="F11" s="1" t="s">
        <v>70</v>
      </c>
    </row>
    <row r="12" spans="2:6" ht="12.75">
      <c r="B12" s="4" t="s">
        <v>5</v>
      </c>
      <c r="C12" s="25">
        <v>5112.8</v>
      </c>
      <c r="D12" s="25">
        <v>5459</v>
      </c>
      <c r="E12" s="13">
        <f t="shared" si="0"/>
        <v>0.9365817915369116</v>
      </c>
      <c r="F12" s="1" t="s">
        <v>70</v>
      </c>
    </row>
    <row r="13" spans="2:6" ht="12.75">
      <c r="B13" s="4" t="s">
        <v>6</v>
      </c>
      <c r="C13" s="25">
        <v>3425.3</v>
      </c>
      <c r="D13" s="25">
        <v>3708</v>
      </c>
      <c r="E13" s="13">
        <f t="shared" si="0"/>
        <v>0.9237594390507012</v>
      </c>
      <c r="F13" s="1" t="s">
        <v>70</v>
      </c>
    </row>
    <row r="14" spans="2:6" ht="12.75">
      <c r="B14" s="4" t="s">
        <v>7</v>
      </c>
      <c r="C14" s="25">
        <v>3311.3</v>
      </c>
      <c r="D14" s="25">
        <v>3708</v>
      </c>
      <c r="E14" s="13">
        <f t="shared" si="0"/>
        <v>0.8930151024811219</v>
      </c>
      <c r="F14" s="1" t="s">
        <v>70</v>
      </c>
    </row>
    <row r="15" spans="2:6" ht="12.75">
      <c r="B15" s="4" t="s">
        <v>8</v>
      </c>
      <c r="C15" s="23">
        <v>3837.8</v>
      </c>
      <c r="D15" s="23">
        <v>3940</v>
      </c>
      <c r="E15" s="13">
        <f t="shared" si="0"/>
        <v>0.9740609137055838</v>
      </c>
      <c r="F15" s="1" t="s">
        <v>70</v>
      </c>
    </row>
    <row r="16" ht="12.75">
      <c r="C16" s="24"/>
    </row>
    <row r="17" ht="12.75">
      <c r="B17" s="16"/>
    </row>
    <row r="18" ht="12.75">
      <c r="C18" s="29"/>
    </row>
  </sheetData>
  <sheetProtection/>
  <mergeCells count="2">
    <mergeCell ref="C4:D4"/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H29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13.57421875" style="0" customWidth="1"/>
    <col min="5" max="5" width="13.8515625" style="0" customWidth="1"/>
    <col min="6" max="6" width="10.57421875" style="0" customWidth="1"/>
    <col min="7" max="7" width="10.28125" style="0" customWidth="1"/>
  </cols>
  <sheetData>
    <row r="2" spans="2:7" ht="69" customHeight="1">
      <c r="B2" s="74" t="s">
        <v>79</v>
      </c>
      <c r="C2" s="75"/>
      <c r="D2" s="75"/>
      <c r="E2" s="75"/>
      <c r="F2" s="75"/>
      <c r="G2" s="76"/>
    </row>
    <row r="3" ht="13.5" thickBot="1"/>
    <row r="4" spans="2:3" ht="13.5" thickBot="1">
      <c r="B4" s="2" t="s">
        <v>9</v>
      </c>
      <c r="C4" s="5" t="s">
        <v>28</v>
      </c>
    </row>
    <row r="7" spans="2:8" ht="25.5" hidden="1">
      <c r="B7" s="3" t="s">
        <v>12</v>
      </c>
      <c r="C7" s="11">
        <v>202</v>
      </c>
      <c r="D7" s="12" t="s">
        <v>72</v>
      </c>
      <c r="E7" s="11">
        <v>202</v>
      </c>
      <c r="F7" s="11" t="s">
        <v>71</v>
      </c>
      <c r="G7" s="12">
        <v>20203</v>
      </c>
      <c r="H7" s="12" t="s">
        <v>73</v>
      </c>
    </row>
    <row r="8" spans="2:8" ht="12.75" hidden="1">
      <c r="B8" s="4" t="s">
        <v>0</v>
      </c>
      <c r="C8" s="7">
        <v>189157.8</v>
      </c>
      <c r="D8" s="7" t="e">
        <f>(C8-#REF!)/(#REF!-#REF!)</f>
        <v>#REF!</v>
      </c>
      <c r="E8" s="7">
        <v>92887.6</v>
      </c>
      <c r="F8" s="7">
        <v>165636.7</v>
      </c>
      <c r="G8" s="7">
        <v>11.6</v>
      </c>
      <c r="H8" s="7">
        <f>(E8-G8)/(F8-G8)</f>
        <v>0.5607604161446544</v>
      </c>
    </row>
    <row r="9" spans="2:8" ht="12.75" hidden="1">
      <c r="B9" s="4" t="s">
        <v>1</v>
      </c>
      <c r="C9" s="7">
        <v>2691.4</v>
      </c>
      <c r="D9" s="7" t="e">
        <f>(C9-#REF!)/(#REF!-#REF!)</f>
        <v>#REF!</v>
      </c>
      <c r="E9" s="7">
        <v>1285.1</v>
      </c>
      <c r="F9" s="7">
        <v>6499.3</v>
      </c>
      <c r="G9" s="7">
        <v>124.3</v>
      </c>
      <c r="H9" s="7">
        <f aca="true" t="shared" si="0" ref="H9:H16">(E9-G9)/(F9-G9)</f>
        <v>0.1820862745098039</v>
      </c>
    </row>
    <row r="10" spans="2:8" ht="12.75" hidden="1">
      <c r="B10" s="4" t="s">
        <v>2</v>
      </c>
      <c r="C10" s="7">
        <v>1665.5</v>
      </c>
      <c r="D10" s="7" t="e">
        <f>(C10-#REF!)/(#REF!-#REF!)</f>
        <v>#REF!</v>
      </c>
      <c r="E10" s="7">
        <v>378.8</v>
      </c>
      <c r="F10" s="7">
        <v>3710.3</v>
      </c>
      <c r="G10" s="7">
        <v>124.1</v>
      </c>
      <c r="H10" s="7">
        <f t="shared" si="0"/>
        <v>0.07102225196586917</v>
      </c>
    </row>
    <row r="11" spans="2:8" ht="12.75" hidden="1">
      <c r="B11" s="4" t="s">
        <v>3</v>
      </c>
      <c r="C11" s="7">
        <v>4680.6</v>
      </c>
      <c r="D11" s="7" t="e">
        <f>(C11-#REF!)/(#REF!-#REF!)</f>
        <v>#REF!</v>
      </c>
      <c r="E11" s="7">
        <v>19210.5</v>
      </c>
      <c r="F11" s="7">
        <v>28950</v>
      </c>
      <c r="G11" s="7">
        <v>298.9</v>
      </c>
      <c r="H11" s="7">
        <f t="shared" si="0"/>
        <v>0.6600654076108771</v>
      </c>
    </row>
    <row r="12" spans="2:8" ht="12.75" hidden="1">
      <c r="B12" s="4" t="s">
        <v>4</v>
      </c>
      <c r="C12" s="7">
        <v>2302.8</v>
      </c>
      <c r="D12" s="7" t="e">
        <f>(C12-#REF!)/(#REF!-#REF!)</f>
        <v>#REF!</v>
      </c>
      <c r="E12" s="7">
        <v>609.7</v>
      </c>
      <c r="F12" s="7">
        <v>3556.6</v>
      </c>
      <c r="G12" s="7">
        <v>125.7</v>
      </c>
      <c r="H12" s="7">
        <f t="shared" si="0"/>
        <v>0.14107085604360373</v>
      </c>
    </row>
    <row r="13" spans="2:8" ht="12.75" hidden="1">
      <c r="B13" s="4" t="s">
        <v>5</v>
      </c>
      <c r="C13" s="7">
        <v>2604.6</v>
      </c>
      <c r="D13" s="7" t="e">
        <f>(C13-#REF!)/(#REF!-#REF!)</f>
        <v>#REF!</v>
      </c>
      <c r="E13" s="7">
        <v>1710.1</v>
      </c>
      <c r="F13" s="7">
        <v>9775.9</v>
      </c>
      <c r="G13" s="7">
        <v>317.8</v>
      </c>
      <c r="H13" s="7">
        <f t="shared" si="0"/>
        <v>0.1472071557712437</v>
      </c>
    </row>
    <row r="14" spans="2:8" ht="12.75" hidden="1">
      <c r="B14" s="4" t="s">
        <v>6</v>
      </c>
      <c r="C14" s="7">
        <v>940.6</v>
      </c>
      <c r="D14" s="7" t="e">
        <f>(C14-#REF!)/(#REF!-#REF!)</f>
        <v>#REF!</v>
      </c>
      <c r="E14" s="7">
        <v>4253.9</v>
      </c>
      <c r="F14" s="7">
        <v>9126.9</v>
      </c>
      <c r="G14" s="7">
        <v>140.6</v>
      </c>
      <c r="H14" s="7">
        <f t="shared" si="0"/>
        <v>0.45773010026373473</v>
      </c>
    </row>
    <row r="15" spans="2:8" ht="12.75" hidden="1">
      <c r="B15" s="4" t="s">
        <v>7</v>
      </c>
      <c r="C15" s="7">
        <v>946.1</v>
      </c>
      <c r="D15" s="7" t="e">
        <f>(C15-#REF!)/(#REF!-#REF!)</f>
        <v>#REF!</v>
      </c>
      <c r="E15" s="7">
        <v>232.5</v>
      </c>
      <c r="F15" s="7">
        <v>4234.4</v>
      </c>
      <c r="G15" s="7">
        <v>145.3</v>
      </c>
      <c r="H15" s="7">
        <f t="shared" si="0"/>
        <v>0.021324985938226015</v>
      </c>
    </row>
    <row r="16" spans="2:8" ht="12.75" hidden="1">
      <c r="B16" s="4" t="s">
        <v>8</v>
      </c>
      <c r="C16" s="7">
        <v>4934.3</v>
      </c>
      <c r="D16" s="7" t="e">
        <f>(C16-#REF!)/(#REF!-#REF!)</f>
        <v>#REF!</v>
      </c>
      <c r="E16" s="7">
        <v>1682.8</v>
      </c>
      <c r="F16" s="7">
        <v>5453.6</v>
      </c>
      <c r="G16" s="7">
        <v>129.4</v>
      </c>
      <c r="H16" s="7">
        <f t="shared" si="0"/>
        <v>0.29176214266932116</v>
      </c>
    </row>
    <row r="17" spans="3:8" ht="12.75" hidden="1">
      <c r="C17" s="8">
        <f>SUM(C8:C16)</f>
        <v>209923.69999999998</v>
      </c>
      <c r="D17" s="8"/>
      <c r="E17" s="8">
        <f>SUM(E8:E16)</f>
        <v>122251.00000000001</v>
      </c>
      <c r="F17" s="8">
        <f>SUM(F8:F16)</f>
        <v>236943.69999999998</v>
      </c>
      <c r="G17" s="8">
        <f>SUM(G8:G16)</f>
        <v>1417.7</v>
      </c>
      <c r="H17" s="8"/>
    </row>
    <row r="18" ht="12.75" hidden="1"/>
    <row r="19" spans="2:7" ht="51">
      <c r="B19" s="34"/>
      <c r="C19" s="3" t="s">
        <v>82</v>
      </c>
      <c r="D19" s="3" t="s">
        <v>83</v>
      </c>
      <c r="E19" s="34" t="s">
        <v>10</v>
      </c>
      <c r="F19" s="34"/>
      <c r="G19" s="34"/>
    </row>
    <row r="20" spans="2:7" ht="12.75">
      <c r="B20" s="4" t="s">
        <v>0</v>
      </c>
      <c r="C20" s="23">
        <v>30635.3</v>
      </c>
      <c r="D20" s="23">
        <v>113788.9</v>
      </c>
      <c r="E20" s="7">
        <f>C20/D20*100</f>
        <v>26.922924819556215</v>
      </c>
      <c r="F20" s="1"/>
      <c r="G20" s="1"/>
    </row>
    <row r="21" spans="2:7" ht="12.75">
      <c r="B21" s="4" t="s">
        <v>1</v>
      </c>
      <c r="C21" s="23">
        <v>1595.7</v>
      </c>
      <c r="D21" s="23">
        <v>11549.1</v>
      </c>
      <c r="E21" s="7">
        <f aca="true" t="shared" si="1" ref="E21:E28">C21/D21*100</f>
        <v>13.816661038522483</v>
      </c>
      <c r="F21" s="1"/>
      <c r="G21" s="1"/>
    </row>
    <row r="22" spans="2:7" ht="12.75">
      <c r="B22" s="4" t="s">
        <v>2</v>
      </c>
      <c r="C22" s="23">
        <v>3571.2</v>
      </c>
      <c r="D22" s="23">
        <v>7680.5</v>
      </c>
      <c r="E22" s="7">
        <f t="shared" si="1"/>
        <v>46.49697285332986</v>
      </c>
      <c r="F22" s="1"/>
      <c r="G22" s="1"/>
    </row>
    <row r="23" spans="2:7" ht="12.75">
      <c r="B23" s="4" t="s">
        <v>3</v>
      </c>
      <c r="C23" s="23">
        <v>0</v>
      </c>
      <c r="D23" s="23">
        <v>30552.3</v>
      </c>
      <c r="E23" s="7">
        <f t="shared" si="1"/>
        <v>0</v>
      </c>
      <c r="F23" s="1"/>
      <c r="G23" s="1"/>
    </row>
    <row r="24" spans="2:7" ht="12.75">
      <c r="B24" s="4" t="s">
        <v>4</v>
      </c>
      <c r="C24" s="23">
        <v>2183.3</v>
      </c>
      <c r="D24" s="23">
        <v>5648.8</v>
      </c>
      <c r="E24" s="7">
        <f t="shared" si="1"/>
        <v>38.65068687154794</v>
      </c>
      <c r="F24" s="1"/>
      <c r="G24" s="1"/>
    </row>
    <row r="25" spans="2:7" ht="12.75">
      <c r="B25" s="4" t="s">
        <v>5</v>
      </c>
      <c r="C25" s="23">
        <v>6147.8</v>
      </c>
      <c r="D25" s="23">
        <v>19121.8</v>
      </c>
      <c r="E25" s="7">
        <f t="shared" si="1"/>
        <v>32.15073894717025</v>
      </c>
      <c r="F25" s="1"/>
      <c r="G25" s="1"/>
    </row>
    <row r="26" spans="2:7" ht="12.75">
      <c r="B26" s="4" t="s">
        <v>6</v>
      </c>
      <c r="C26" s="23">
        <v>165.8</v>
      </c>
      <c r="D26" s="23">
        <v>9892.9</v>
      </c>
      <c r="E26" s="7">
        <f t="shared" si="1"/>
        <v>1.6759494182696684</v>
      </c>
      <c r="F26" s="1"/>
      <c r="G26" s="1"/>
    </row>
    <row r="27" spans="2:7" ht="12.75">
      <c r="B27" s="4" t="s">
        <v>7</v>
      </c>
      <c r="C27" s="23">
        <v>2371.8</v>
      </c>
      <c r="D27" s="23">
        <v>7920.2</v>
      </c>
      <c r="E27" s="7">
        <f t="shared" si="1"/>
        <v>29.946213479457594</v>
      </c>
      <c r="F27" s="1"/>
      <c r="G27" s="1"/>
    </row>
    <row r="28" spans="2:7" ht="12.75">
      <c r="B28" s="4" t="s">
        <v>8</v>
      </c>
      <c r="C28" s="23">
        <v>3848.2</v>
      </c>
      <c r="D28" s="23">
        <v>10994.2</v>
      </c>
      <c r="E28" s="7">
        <f t="shared" si="1"/>
        <v>35.002092012151856</v>
      </c>
      <c r="F28" s="1"/>
      <c r="G28" s="1"/>
    </row>
    <row r="29" spans="3:4" s="16" customFormat="1" ht="12.75">
      <c r="C29" s="58"/>
      <c r="D29" s="58"/>
    </row>
  </sheetData>
  <sheetProtection/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F18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5" width="21.421875" style="0" customWidth="1"/>
    <col min="6" max="6" width="10.8515625" style="0" customWidth="1"/>
  </cols>
  <sheetData>
    <row r="2" spans="2:6" ht="34.5" customHeight="1">
      <c r="B2" s="74" t="s">
        <v>29</v>
      </c>
      <c r="C2" s="75"/>
      <c r="D2" s="75"/>
      <c r="E2" s="75"/>
      <c r="F2" s="75"/>
    </row>
    <row r="3" ht="13.5" thickBot="1"/>
    <row r="4" spans="2:5" ht="13.5" thickBot="1">
      <c r="B4" s="2" t="s">
        <v>9</v>
      </c>
      <c r="C4" s="72" t="s">
        <v>30</v>
      </c>
      <c r="D4" s="72"/>
      <c r="E4" s="6"/>
    </row>
    <row r="6" spans="2:6" ht="119.25" customHeight="1">
      <c r="B6" s="3" t="s">
        <v>12</v>
      </c>
      <c r="C6" s="3" t="s">
        <v>31</v>
      </c>
      <c r="D6" s="3" t="s">
        <v>32</v>
      </c>
      <c r="E6" s="3" t="s">
        <v>33</v>
      </c>
      <c r="F6" s="3" t="s">
        <v>10</v>
      </c>
    </row>
    <row r="7" spans="2:6" ht="12.75">
      <c r="B7" s="4" t="s">
        <v>0</v>
      </c>
      <c r="C7" s="1">
        <v>0</v>
      </c>
      <c r="D7" s="7">
        <v>247270.2</v>
      </c>
      <c r="E7" s="27">
        <v>12.4</v>
      </c>
      <c r="F7" s="1">
        <v>0</v>
      </c>
    </row>
    <row r="8" spans="2:6" ht="12.75">
      <c r="B8" s="4" t="s">
        <v>1</v>
      </c>
      <c r="C8" s="1">
        <v>0</v>
      </c>
      <c r="D8" s="7">
        <v>17850.6</v>
      </c>
      <c r="E8" s="27">
        <v>225.5</v>
      </c>
      <c r="F8" s="1">
        <v>0</v>
      </c>
    </row>
    <row r="9" spans="2:6" ht="12.75">
      <c r="B9" s="4" t="s">
        <v>2</v>
      </c>
      <c r="C9" s="1">
        <v>0</v>
      </c>
      <c r="D9" s="7">
        <v>24853.6</v>
      </c>
      <c r="E9" s="27">
        <v>218.9</v>
      </c>
      <c r="F9" s="1">
        <v>0</v>
      </c>
    </row>
    <row r="10" spans="2:6" ht="12.75">
      <c r="B10" s="4" t="s">
        <v>3</v>
      </c>
      <c r="C10" s="1">
        <v>0</v>
      </c>
      <c r="D10" s="7">
        <v>103136.6</v>
      </c>
      <c r="E10" s="27">
        <v>225.5</v>
      </c>
      <c r="F10" s="1">
        <v>0</v>
      </c>
    </row>
    <row r="11" spans="2:6" ht="12.75">
      <c r="B11" s="4" t="s">
        <v>4</v>
      </c>
      <c r="C11" s="1">
        <v>0</v>
      </c>
      <c r="D11" s="7">
        <v>10460.2</v>
      </c>
      <c r="E11" s="27">
        <v>225.5</v>
      </c>
      <c r="F11" s="1">
        <v>0</v>
      </c>
    </row>
    <row r="12" spans="2:6" ht="12.75">
      <c r="B12" s="4" t="s">
        <v>5</v>
      </c>
      <c r="C12" s="1">
        <v>0</v>
      </c>
      <c r="D12" s="7">
        <v>35498.2</v>
      </c>
      <c r="E12" s="27">
        <v>225.5</v>
      </c>
      <c r="F12" s="1">
        <v>0</v>
      </c>
    </row>
    <row r="13" spans="2:6" ht="12.75">
      <c r="B13" s="4" t="s">
        <v>6</v>
      </c>
      <c r="C13" s="1">
        <v>0</v>
      </c>
      <c r="D13" s="7">
        <v>23168.4</v>
      </c>
      <c r="E13" s="27">
        <v>225.5</v>
      </c>
      <c r="F13" s="1">
        <v>0</v>
      </c>
    </row>
    <row r="14" spans="2:6" ht="12.75">
      <c r="B14" s="4" t="s">
        <v>7</v>
      </c>
      <c r="C14" s="1">
        <v>0</v>
      </c>
      <c r="D14" s="7">
        <v>14939.6</v>
      </c>
      <c r="E14" s="27">
        <v>225.5</v>
      </c>
      <c r="F14" s="1">
        <v>0</v>
      </c>
    </row>
    <row r="15" spans="2:6" ht="12.75">
      <c r="B15" s="4" t="s">
        <v>8</v>
      </c>
      <c r="C15" s="1">
        <v>0</v>
      </c>
      <c r="D15" s="7">
        <v>17627.7</v>
      </c>
      <c r="E15" s="27">
        <v>225.5</v>
      </c>
      <c r="F15" s="1">
        <v>0</v>
      </c>
    </row>
    <row r="16" spans="4:5" ht="12.75">
      <c r="D16" s="24"/>
      <c r="E16" s="24"/>
    </row>
    <row r="18" ht="12.75">
      <c r="B18" s="16"/>
    </row>
  </sheetData>
  <sheetProtection/>
  <mergeCells count="2">
    <mergeCell ref="C4:D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G17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21.421875" style="0" customWidth="1"/>
    <col min="5" max="5" width="23.421875" style="0" customWidth="1"/>
    <col min="6" max="6" width="21.421875" style="0" customWidth="1"/>
    <col min="7" max="7" width="10.8515625" style="0" customWidth="1"/>
  </cols>
  <sheetData>
    <row r="2" spans="2:7" ht="34.5" customHeight="1">
      <c r="B2" s="74" t="s">
        <v>34</v>
      </c>
      <c r="C2" s="75"/>
      <c r="D2" s="75"/>
      <c r="E2" s="75"/>
      <c r="F2" s="75"/>
      <c r="G2" s="75"/>
    </row>
    <row r="3" ht="13.5" thickBot="1"/>
    <row r="4" spans="2:6" ht="13.5" thickBot="1">
      <c r="B4" s="2" t="s">
        <v>9</v>
      </c>
      <c r="C4" s="72" t="s">
        <v>35</v>
      </c>
      <c r="D4" s="72"/>
      <c r="E4" s="6"/>
      <c r="F4" s="6"/>
    </row>
    <row r="6" spans="2:7" ht="81" customHeight="1">
      <c r="B6" s="3" t="s">
        <v>12</v>
      </c>
      <c r="C6" s="3" t="s">
        <v>36</v>
      </c>
      <c r="D6" s="3" t="s">
        <v>37</v>
      </c>
      <c r="E6" s="3" t="s">
        <v>38</v>
      </c>
      <c r="F6" s="3" t="s">
        <v>39</v>
      </c>
      <c r="G6" s="3" t="s">
        <v>10</v>
      </c>
    </row>
    <row r="7" spans="2:7" ht="12.75">
      <c r="B7" s="4" t="s">
        <v>0</v>
      </c>
      <c r="C7" s="26">
        <v>9.9</v>
      </c>
      <c r="D7" s="26">
        <v>247270.2</v>
      </c>
      <c r="E7" s="26">
        <v>29.1</v>
      </c>
      <c r="F7" s="7">
        <v>149027.8</v>
      </c>
      <c r="G7" s="13">
        <f>(C7/D7)/(E7/F7)</f>
        <v>0.20503958577072084</v>
      </c>
    </row>
    <row r="8" spans="2:7" ht="12.75">
      <c r="B8" s="4" t="s">
        <v>1</v>
      </c>
      <c r="C8" s="26">
        <v>13.4</v>
      </c>
      <c r="D8" s="26">
        <v>17850.6</v>
      </c>
      <c r="E8" s="26">
        <v>39.2</v>
      </c>
      <c r="F8" s="7">
        <v>12311.8</v>
      </c>
      <c r="G8" s="13">
        <f aca="true" t="shared" si="0" ref="G8:G15">(C8/D8)/(E8/F8)</f>
        <v>0.2357694144848958</v>
      </c>
    </row>
    <row r="9" spans="2:7" ht="12.75">
      <c r="B9" s="4" t="s">
        <v>2</v>
      </c>
      <c r="C9" s="26">
        <v>42</v>
      </c>
      <c r="D9" s="26">
        <v>24853.6</v>
      </c>
      <c r="E9" s="26">
        <v>39.9</v>
      </c>
      <c r="F9" s="7">
        <v>16034</v>
      </c>
      <c r="G9" s="13">
        <f t="shared" si="0"/>
        <v>0.6790925554785667</v>
      </c>
    </row>
    <row r="10" spans="2:7" ht="12.75">
      <c r="B10" s="4" t="s">
        <v>3</v>
      </c>
      <c r="C10" s="26">
        <v>924.5</v>
      </c>
      <c r="D10" s="26">
        <v>103136.6</v>
      </c>
      <c r="E10" s="26">
        <v>30</v>
      </c>
      <c r="F10" s="7">
        <v>73119.9</v>
      </c>
      <c r="G10" s="13">
        <f t="shared" si="0"/>
        <v>21.847836606985293</v>
      </c>
    </row>
    <row r="11" spans="2:7" ht="12.75">
      <c r="B11" s="4" t="s">
        <v>4</v>
      </c>
      <c r="C11" s="26">
        <v>37.4</v>
      </c>
      <c r="D11" s="26">
        <v>10460.2</v>
      </c>
      <c r="E11" s="26">
        <v>43.6</v>
      </c>
      <c r="F11" s="7">
        <v>9281.6</v>
      </c>
      <c r="G11" s="13">
        <f t="shared" si="0"/>
        <v>0.7611460057686549</v>
      </c>
    </row>
    <row r="12" spans="2:7" ht="12.75">
      <c r="B12" s="4" t="s">
        <v>5</v>
      </c>
      <c r="C12" s="26">
        <v>60.6</v>
      </c>
      <c r="D12" s="26">
        <v>35498.2</v>
      </c>
      <c r="E12" s="26">
        <v>25.2</v>
      </c>
      <c r="F12" s="7">
        <v>34350.9</v>
      </c>
      <c r="G12" s="13">
        <f t="shared" si="0"/>
        <v>2.32704012356361</v>
      </c>
    </row>
    <row r="13" spans="2:7" ht="12.75">
      <c r="B13" s="4" t="s">
        <v>6</v>
      </c>
      <c r="C13" s="26">
        <v>44.3</v>
      </c>
      <c r="D13" s="26">
        <v>23168.4</v>
      </c>
      <c r="E13" s="26">
        <v>54</v>
      </c>
      <c r="F13" s="7">
        <v>26395.5</v>
      </c>
      <c r="G13" s="13">
        <f t="shared" si="0"/>
        <v>0.9346388231863706</v>
      </c>
    </row>
    <row r="14" spans="2:7" ht="12.75">
      <c r="B14" s="4" t="s">
        <v>7</v>
      </c>
      <c r="C14" s="26">
        <v>34.7</v>
      </c>
      <c r="D14" s="26">
        <v>14939.6</v>
      </c>
      <c r="E14" s="26">
        <v>36.8</v>
      </c>
      <c r="F14" s="7">
        <v>14022.1</v>
      </c>
      <c r="G14" s="13">
        <f t="shared" si="0"/>
        <v>0.8850254233859939</v>
      </c>
    </row>
    <row r="15" spans="2:7" ht="12.75">
      <c r="B15" s="4" t="s">
        <v>8</v>
      </c>
      <c r="C15" s="26">
        <v>98.3</v>
      </c>
      <c r="D15" s="26">
        <v>17627.7</v>
      </c>
      <c r="E15" s="26">
        <v>48.8</v>
      </c>
      <c r="F15" s="7">
        <v>18131.3</v>
      </c>
      <c r="G15" s="13">
        <f t="shared" si="0"/>
        <v>2.07189140517202</v>
      </c>
    </row>
    <row r="16" spans="3:6" ht="12.75">
      <c r="C16" s="8"/>
      <c r="D16" s="8"/>
      <c r="E16" s="8"/>
      <c r="F16" s="8"/>
    </row>
    <row r="17" ht="12.75">
      <c r="B17" s="16"/>
    </row>
  </sheetData>
  <sheetProtection/>
  <mergeCells count="2">
    <mergeCell ref="C4:D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I29"/>
  <sheetViews>
    <sheetView zoomScalePageLayoutView="0" workbookViewId="0" topLeftCell="E1">
      <selection activeCell="C6" sqref="C6"/>
    </sheetView>
  </sheetViews>
  <sheetFormatPr defaultColWidth="9.140625" defaultRowHeight="12.75"/>
  <cols>
    <col min="2" max="2" width="20.140625" style="0" bestFit="1" customWidth="1"/>
    <col min="3" max="5" width="25.7109375" style="0" customWidth="1"/>
    <col min="6" max="6" width="28.8515625" style="0" customWidth="1"/>
    <col min="7" max="8" width="26.7109375" style="0" customWidth="1"/>
    <col min="9" max="9" width="10.8515625" style="0" customWidth="1"/>
  </cols>
  <sheetData>
    <row r="2" spans="2:9" ht="15.75">
      <c r="B2" s="74" t="s">
        <v>92</v>
      </c>
      <c r="C2" s="75"/>
      <c r="D2" s="75"/>
      <c r="E2" s="75"/>
      <c r="F2" s="75"/>
      <c r="G2" s="75"/>
      <c r="H2" s="75"/>
      <c r="I2" s="75"/>
    </row>
    <row r="3" ht="13.5" thickBot="1"/>
    <row r="4" spans="2:8" ht="13.5" thickBot="1">
      <c r="B4" s="2" t="s">
        <v>9</v>
      </c>
      <c r="C4" s="72" t="s">
        <v>110</v>
      </c>
      <c r="D4" s="72"/>
      <c r="E4" s="72"/>
      <c r="F4" s="72"/>
      <c r="G4" s="6"/>
      <c r="H4" s="6"/>
    </row>
    <row r="6" spans="2:9" ht="158.25" customHeight="1">
      <c r="B6" s="3" t="s">
        <v>12</v>
      </c>
      <c r="C6" s="3" t="s">
        <v>54</v>
      </c>
      <c r="D6" s="3" t="s">
        <v>99</v>
      </c>
      <c r="E6" s="3" t="s">
        <v>100</v>
      </c>
      <c r="F6" s="3" t="s">
        <v>101</v>
      </c>
      <c r="G6" s="3" t="s">
        <v>102</v>
      </c>
      <c r="H6" s="3" t="s">
        <v>103</v>
      </c>
      <c r="I6" s="3" t="s">
        <v>10</v>
      </c>
    </row>
    <row r="7" spans="2:9" ht="12.75">
      <c r="B7" s="4" t="s">
        <v>0</v>
      </c>
      <c r="C7" s="27">
        <v>249938</v>
      </c>
      <c r="D7" s="27">
        <v>136150.5</v>
      </c>
      <c r="E7" s="27">
        <v>12.4</v>
      </c>
      <c r="F7" s="62">
        <v>160205.4</v>
      </c>
      <c r="G7" s="62">
        <v>48976.3</v>
      </c>
      <c r="H7" s="62">
        <v>12.4</v>
      </c>
      <c r="I7" s="35">
        <f>((D7-E7)/C7)/((G7-H7)/F7)</f>
        <v>1.782167597111546</v>
      </c>
    </row>
    <row r="8" spans="2:9" ht="12.75">
      <c r="B8" s="4" t="s">
        <v>1</v>
      </c>
      <c r="C8" s="27">
        <v>19341.2</v>
      </c>
      <c r="D8" s="27">
        <v>7724.1</v>
      </c>
      <c r="E8" s="27">
        <v>225.5</v>
      </c>
      <c r="F8" s="62">
        <v>13122</v>
      </c>
      <c r="G8" s="62">
        <v>2954.2</v>
      </c>
      <c r="H8" s="62">
        <v>204.9</v>
      </c>
      <c r="I8" s="35">
        <f aca="true" t="shared" si="0" ref="I8:I15">((D8-E8)/C8)/((G8-H8)/F8)</f>
        <v>1.8504385737423406</v>
      </c>
    </row>
    <row r="9" spans="2:9" ht="12.75">
      <c r="B9" s="4" t="s">
        <v>2</v>
      </c>
      <c r="C9" s="27">
        <v>13175.9</v>
      </c>
      <c r="D9" s="27">
        <v>5495.4</v>
      </c>
      <c r="E9" s="27">
        <v>218.9</v>
      </c>
      <c r="F9" s="62">
        <v>12880.7</v>
      </c>
      <c r="G9" s="62">
        <v>5016.7</v>
      </c>
      <c r="H9" s="62">
        <v>204.9</v>
      </c>
      <c r="I9" s="35">
        <f t="shared" si="0"/>
        <v>1.0720068240813045</v>
      </c>
    </row>
    <row r="10" spans="2:9" ht="12.75">
      <c r="B10" s="4" t="s">
        <v>3</v>
      </c>
      <c r="C10" s="27">
        <v>103467.3</v>
      </c>
      <c r="D10" s="27">
        <v>72915</v>
      </c>
      <c r="E10" s="27">
        <v>225.5</v>
      </c>
      <c r="F10" s="62">
        <v>72175.3</v>
      </c>
      <c r="G10" s="62">
        <v>42796</v>
      </c>
      <c r="H10" s="62">
        <v>204.9</v>
      </c>
      <c r="I10" s="35">
        <f t="shared" si="0"/>
        <v>1.1905244151317607</v>
      </c>
    </row>
    <row r="11" spans="2:9" ht="12.75">
      <c r="B11" s="4" t="s">
        <v>4</v>
      </c>
      <c r="C11" s="27">
        <v>8975.4</v>
      </c>
      <c r="D11" s="27">
        <v>3371.5</v>
      </c>
      <c r="E11" s="27">
        <v>225.5</v>
      </c>
      <c r="F11" s="62">
        <v>10120.4</v>
      </c>
      <c r="G11" s="62">
        <v>4313.7</v>
      </c>
      <c r="H11" s="62">
        <v>204.9</v>
      </c>
      <c r="I11" s="35">
        <f t="shared" si="0"/>
        <v>0.8633513682639783</v>
      </c>
    </row>
    <row r="12" spans="2:9" ht="12.75">
      <c r="B12" s="4" t="s">
        <v>5</v>
      </c>
      <c r="C12" s="27">
        <v>32957.9</v>
      </c>
      <c r="D12" s="27">
        <v>13872.8</v>
      </c>
      <c r="E12" s="27">
        <v>225.5</v>
      </c>
      <c r="F12" s="62">
        <v>37345.7</v>
      </c>
      <c r="G12" s="62">
        <v>18986.6</v>
      </c>
      <c r="H12" s="62">
        <v>204.2</v>
      </c>
      <c r="I12" s="35">
        <f t="shared" si="0"/>
        <v>0.823335280609874</v>
      </c>
    </row>
    <row r="13" spans="2:9" ht="12.75">
      <c r="B13" s="4" t="s">
        <v>6</v>
      </c>
      <c r="C13" s="27">
        <v>21463.6</v>
      </c>
      <c r="D13" s="27">
        <v>11573.1</v>
      </c>
      <c r="E13" s="27">
        <v>225.5</v>
      </c>
      <c r="F13" s="62">
        <v>26017.2</v>
      </c>
      <c r="G13" s="62">
        <v>16219.6</v>
      </c>
      <c r="H13" s="62">
        <v>204.9</v>
      </c>
      <c r="I13" s="35">
        <f t="shared" si="0"/>
        <v>0.8589011820659529</v>
      </c>
    </row>
    <row r="14" spans="2:9" ht="12.75">
      <c r="B14" s="4" t="s">
        <v>7</v>
      </c>
      <c r="C14" s="25">
        <v>13404.1</v>
      </c>
      <c r="D14" s="27">
        <v>5429.9</v>
      </c>
      <c r="E14" s="27">
        <v>225.5</v>
      </c>
      <c r="F14" s="63">
        <v>14741.2</v>
      </c>
      <c r="G14" s="62">
        <v>5714</v>
      </c>
      <c r="H14" s="62">
        <v>204.9</v>
      </c>
      <c r="I14" s="35">
        <f t="shared" si="0"/>
        <v>1.0389273799252923</v>
      </c>
    </row>
    <row r="15" spans="2:9" ht="12.75">
      <c r="B15" s="4" t="s">
        <v>8</v>
      </c>
      <c r="C15" s="25">
        <v>15608.6</v>
      </c>
      <c r="D15" s="27">
        <v>4609.4</v>
      </c>
      <c r="E15" s="27">
        <v>225.5</v>
      </c>
      <c r="F15" s="63">
        <v>20774.3</v>
      </c>
      <c r="G15" s="62">
        <v>9353.5</v>
      </c>
      <c r="H15" s="62">
        <v>204.9</v>
      </c>
      <c r="I15" s="35">
        <f t="shared" si="0"/>
        <v>0.6377764036729653</v>
      </c>
    </row>
    <row r="16" spans="3:9" ht="12.75">
      <c r="C16" s="24"/>
      <c r="D16" s="24"/>
      <c r="E16" s="24"/>
      <c r="F16" s="24"/>
      <c r="G16" s="24"/>
      <c r="H16" s="24"/>
      <c r="I16" s="22"/>
    </row>
    <row r="17" spans="7:9" ht="12.75">
      <c r="G17" s="21"/>
      <c r="H17" s="21"/>
      <c r="I17" s="21"/>
    </row>
    <row r="18" ht="12.75" hidden="1"/>
    <row r="19" spans="2:8" ht="89.25" hidden="1">
      <c r="B19" s="3" t="s">
        <v>12</v>
      </c>
      <c r="C19" s="3" t="s">
        <v>84</v>
      </c>
      <c r="D19" s="3" t="s">
        <v>85</v>
      </c>
      <c r="E19" s="3"/>
      <c r="F19" s="3" t="s">
        <v>86</v>
      </c>
      <c r="G19" s="3" t="s">
        <v>69</v>
      </c>
      <c r="H19" s="42"/>
    </row>
    <row r="20" spans="2:8" ht="12.75" hidden="1">
      <c r="B20" s="4" t="s">
        <v>0</v>
      </c>
      <c r="C20" s="1">
        <v>13</v>
      </c>
      <c r="D20" s="27">
        <f>262.3</f>
        <v>262.3</v>
      </c>
      <c r="E20" s="27"/>
      <c r="F20" s="23">
        <v>2357.3</v>
      </c>
      <c r="G20" s="7">
        <f aca="true" t="shared" si="1" ref="G20:G28">C20+D20+F20</f>
        <v>2632.6000000000004</v>
      </c>
      <c r="H20" s="43"/>
    </row>
    <row r="21" spans="2:8" ht="12.75" hidden="1">
      <c r="B21" s="4" t="s">
        <v>1</v>
      </c>
      <c r="C21" s="1">
        <v>199.2</v>
      </c>
      <c r="D21" s="27">
        <v>39.4</v>
      </c>
      <c r="E21" s="27"/>
      <c r="F21" s="23">
        <v>1.3</v>
      </c>
      <c r="G21" s="7">
        <f t="shared" si="1"/>
        <v>239.9</v>
      </c>
      <c r="H21" s="43"/>
    </row>
    <row r="22" spans="2:8" ht="12.75" hidden="1">
      <c r="B22" s="4" t="s">
        <v>2</v>
      </c>
      <c r="C22" s="1">
        <v>199.2</v>
      </c>
      <c r="D22" s="27">
        <v>39.4</v>
      </c>
      <c r="E22" s="27"/>
      <c r="F22" s="23"/>
      <c r="G22" s="7">
        <f t="shared" si="1"/>
        <v>238.6</v>
      </c>
      <c r="H22" s="43"/>
    </row>
    <row r="23" spans="2:8" ht="12.75" hidden="1">
      <c r="B23" s="4" t="s">
        <v>3</v>
      </c>
      <c r="C23" s="1">
        <v>394.5</v>
      </c>
      <c r="D23" s="27">
        <v>39.4</v>
      </c>
      <c r="E23" s="27"/>
      <c r="F23" s="23">
        <v>105.6</v>
      </c>
      <c r="G23" s="7">
        <f t="shared" si="1"/>
        <v>539.5</v>
      </c>
      <c r="H23" s="43"/>
    </row>
    <row r="24" spans="2:8" ht="12.75" hidden="1">
      <c r="B24" s="4" t="s">
        <v>4</v>
      </c>
      <c r="C24" s="1">
        <v>199.2</v>
      </c>
      <c r="D24" s="27">
        <v>39.4</v>
      </c>
      <c r="E24" s="27"/>
      <c r="F24" s="23">
        <v>18.6</v>
      </c>
      <c r="G24" s="7">
        <f t="shared" si="1"/>
        <v>257.2</v>
      </c>
      <c r="H24" s="43"/>
    </row>
    <row r="25" spans="2:8" ht="12.75" hidden="1">
      <c r="B25" s="4" t="s">
        <v>5</v>
      </c>
      <c r="C25" s="1">
        <v>394.5</v>
      </c>
      <c r="D25" s="27">
        <v>39.4</v>
      </c>
      <c r="E25" s="27"/>
      <c r="F25" s="23"/>
      <c r="G25" s="7">
        <f t="shared" si="1"/>
        <v>433.9</v>
      </c>
      <c r="H25" s="43"/>
    </row>
    <row r="26" spans="2:8" ht="12.75" hidden="1">
      <c r="B26" s="4" t="s">
        <v>6</v>
      </c>
      <c r="C26" s="1">
        <v>199.2</v>
      </c>
      <c r="D26" s="27">
        <v>39.4</v>
      </c>
      <c r="E26" s="27"/>
      <c r="F26" s="23"/>
      <c r="G26" s="7">
        <f t="shared" si="1"/>
        <v>238.6</v>
      </c>
      <c r="H26" s="43"/>
    </row>
    <row r="27" spans="2:8" ht="12.75" hidden="1">
      <c r="B27" s="4" t="s">
        <v>7</v>
      </c>
      <c r="C27" s="1">
        <v>199.2</v>
      </c>
      <c r="D27" s="27">
        <v>39.4</v>
      </c>
      <c r="E27" s="27"/>
      <c r="F27" s="23"/>
      <c r="G27" s="7">
        <f t="shared" si="1"/>
        <v>238.6</v>
      </c>
      <c r="H27" s="43"/>
    </row>
    <row r="28" spans="2:8" ht="12.75" hidden="1">
      <c r="B28" s="4" t="s">
        <v>8</v>
      </c>
      <c r="C28" s="1">
        <v>199.2</v>
      </c>
      <c r="D28" s="27">
        <v>39.4</v>
      </c>
      <c r="E28" s="27"/>
      <c r="F28" s="23"/>
      <c r="G28" s="7">
        <f t="shared" si="1"/>
        <v>238.6</v>
      </c>
      <c r="H28" s="43"/>
    </row>
    <row r="29" spans="7:8" ht="12.75" hidden="1">
      <c r="G29" s="8">
        <f>SUM(G20:G28)</f>
        <v>5057.500000000001</v>
      </c>
      <c r="H29" s="8"/>
    </row>
    <row r="30" ht="12.75" hidden="1"/>
    <row r="31" ht="12.75" hidden="1"/>
  </sheetData>
  <sheetProtection/>
  <mergeCells count="2">
    <mergeCell ref="C4:F4"/>
    <mergeCell ref="B2:I2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 Черкашина</cp:lastModifiedBy>
  <cp:lastPrinted>2020-07-16T13:03:27Z</cp:lastPrinted>
  <dcterms:created xsi:type="dcterms:W3CDTF">1996-10-08T23:32:33Z</dcterms:created>
  <dcterms:modified xsi:type="dcterms:W3CDTF">2020-07-28T09:49:45Z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